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39.xml" ContentType="application/vnd.openxmlformats-officedocument.drawingml.chartshapes+xml"/>
  <Override PartName="/xl/drawings/drawing41.xml" ContentType="application/vnd.openxmlformats-officedocument.drawingml.chartshapes+xml"/>
  <Override PartName="/xl/drawings/drawing42.xml" ContentType="application/vnd.openxmlformats-officedocument.drawingml.chartshapes+xml"/>
  <Override PartName="/xl/drawings/drawing44.xml" ContentType="application/vnd.openxmlformats-officedocument.drawingml.chartshapes+xml"/>
  <Override PartName="/xl/drawings/drawing40.xml" ContentType="application/vnd.openxmlformats-officedocument.drawingml.chartshapes+xml"/>
  <Override PartName="/xl/drawings/drawing43.xml" ContentType="application/vnd.openxmlformats-officedocument.drawingml.chartshapes+xml"/>
  <Override PartName="/xl/workbook.xml" ContentType="application/vnd.openxmlformats-officedocument.spreadsheetml.sheet.main+xml"/>
  <Override PartName="/xl/worksheets/sheet10.xml" ContentType="application/vnd.openxmlformats-officedocument.spreadsheetml.worksheet+xml"/>
  <Override PartName="/xl/slicers/slicer43.xml" ContentType="application/vnd.ms-excel.slicer+xml"/>
  <Override PartName="/xl/drawings/drawing63.xml" ContentType="application/vnd.openxmlformats-officedocument.drawing+xml"/>
  <Override PartName="/xl/slicers/slicer42.xml" ContentType="application/vnd.ms-excel.slicer+xml"/>
  <Override PartName="/xl/drawings/drawing62.xml" ContentType="application/vnd.openxmlformats-officedocument.drawing+xml"/>
  <Override PartName="/xl/pivotTables/pivotTable32.xml" ContentType="application/vnd.openxmlformats-officedocument.spreadsheetml.pivotTable+xml"/>
  <Override PartName="/xl/slicers/slicer41.xml" ContentType="application/vnd.ms-excel.slicer+xml"/>
  <Override PartName="/xl/drawings/drawing61.xml" ContentType="application/vnd.openxmlformats-officedocument.drawing+xml"/>
  <Override PartName="/xl/pivotTables/pivotTable33.xml" ContentType="application/vnd.openxmlformats-officedocument.spreadsheetml.pivotTable+xml"/>
  <Override PartName="/xl/drawings/drawing64.xml" ContentType="application/vnd.openxmlformats-officedocument.drawing+xml"/>
  <Override PartName="/xl/slicers/slicer44.xml" ContentType="application/vnd.ms-excel.slicer+xml"/>
  <Override PartName="/xl/worksheets/sheet2.xml" ContentType="application/vnd.openxmlformats-officedocument.spreadsheetml.worksheet+xml"/>
  <Override PartName="/xl/worksheets/sheet3.xml" ContentType="application/vnd.openxmlformats-officedocument.spreadsheetml.worksheet+xml"/>
  <Override PartName="/xl/drawings/drawing66.xml" ContentType="application/vnd.openxmlformats-officedocument.drawing+xml"/>
  <Override PartName="/xl/drawings/drawing65.xml" ContentType="application/vnd.openxmlformats-officedocument.drawing+xml"/>
  <Override PartName="/xl/slicers/slicer40.xml" ContentType="application/vnd.ms-excel.slicer+xml"/>
  <Override PartName="/xl/drawings/drawing60.xml" ContentType="application/vnd.openxmlformats-officedocument.drawing+xml"/>
  <Override PartName="/xl/pivotTables/pivotTable31.xml" ContentType="application/vnd.openxmlformats-officedocument.spreadsheetml.pivotTable+xml"/>
  <Override PartName="/xl/drawings/drawing55.xml" ContentType="application/vnd.openxmlformats-officedocument.drawing+xml"/>
  <Override PartName="/xl/drawings/drawing54.xml" ContentType="application/vnd.openxmlformats-officedocument.drawing+xml"/>
  <Override PartName="/xl/drawings/drawing53.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slicers/slicer39.xml" ContentType="application/vnd.ms-excel.slicer+xml"/>
  <Override PartName="/xl/drawings/drawing59.xml" ContentType="application/vnd.openxmlformats-officedocument.drawing+xml"/>
  <Override PartName="/xl/slicers/slicer38.xml" ContentType="application/vnd.ms-excel.slicer+xml"/>
  <Override PartName="/xl/drawings/drawing58.xml" ContentType="application/vnd.openxmlformats-officedocument.drawing+xml"/>
  <Override PartName="/xl/pivotTables/pivotTable30.xml" ContentType="application/vnd.openxmlformats-officedocument.spreadsheetml.pivotTable+xml"/>
  <Override PartName="/xl/slicers/slicer37.xml" ContentType="application/vnd.ms-excel.slicer+xml"/>
  <Override PartName="/xl/drawings/drawing52.xml" ContentType="application/vnd.openxmlformats-officedocument.drawing+xml"/>
  <Override PartName="/xl/slicers/slicer36.xml" ContentType="application/vnd.ms-excel.slicer+xml"/>
  <Override PartName="/xl/drawings/drawing51.xml" ContentType="application/vnd.openxmlformats-officedocument.drawing+xml"/>
  <Override PartName="/xl/drawings/drawing31.xml" ContentType="application/vnd.openxmlformats-officedocument.drawing+xml"/>
  <Override PartName="/xl/slicers/slicer27.xml" ContentType="application/vnd.ms-excel.slicer+xml"/>
  <Override PartName="/xl/drawings/drawing30.xml" ContentType="application/vnd.openxmlformats-officedocument.drawing+xml"/>
  <Override PartName="/xl/pivotTables/pivotTable20.xml" ContentType="application/vnd.openxmlformats-officedocument.spreadsheetml.pivotTable+xml"/>
  <Override PartName="/xl/slicers/slicer26.xml" ContentType="application/vnd.ms-excel.slicer+xml"/>
  <Override PartName="/xl/drawings/drawing29.xml" ContentType="application/vnd.openxmlformats-officedocument.drawing+xml"/>
  <Override PartName="/xl/slicers/slicer25.xml" ContentType="application/vnd.ms-excel.slicer+xml"/>
  <Override PartName="/xl/slicers/slicer28.xml" ContentType="application/vnd.ms-excel.slicer+xml"/>
  <Override PartName="/xl/pivotTables/pivotTable21.xml" ContentType="application/vnd.openxmlformats-officedocument.spreadsheetml.pivotTable+xml"/>
  <Override PartName="/xl/drawings/drawing32.xml" ContentType="application/vnd.openxmlformats-officedocument.drawing+xml"/>
  <Override PartName="/xl/pivotTables/pivotTable23.xml" ContentType="application/vnd.openxmlformats-officedocument.spreadsheetml.pivotTable+xml"/>
  <Override PartName="/xl/slicers/slicer31.xml" ContentType="application/vnd.ms-excel.slicer+xml"/>
  <Override PartName="/xl/drawings/drawing34.xml" ContentType="application/vnd.openxmlformats-officedocument.drawing+xml"/>
  <Override PartName="/xl/pivotTables/pivotTable22.xml" ContentType="application/vnd.openxmlformats-officedocument.spreadsheetml.pivotTable+xml"/>
  <Override PartName="/xl/slicers/slicer30.xml" ContentType="application/vnd.ms-excel.slicer+xml"/>
  <Override PartName="/xl/drawings/drawing33.xml" ContentType="application/vnd.openxmlformats-officedocument.drawing+xml"/>
  <Override PartName="/xl/slicers/slicer29.xml" ContentType="application/vnd.ms-excel.slicer+xml"/>
  <Override PartName="/xl/drawings/drawing28.xml" ContentType="application/vnd.openxmlformats-officedocument.drawing+xml"/>
  <Override PartName="/xl/slicers/slicer24.xml" ContentType="application/vnd.ms-excel.slicer+xml"/>
  <Override PartName="/xl/drawings/drawing27.xml" ContentType="application/vnd.openxmlformats-officedocument.drawing+xml"/>
  <Override PartName="/xl/drawings/drawing24.xml" ContentType="application/vnd.openxmlformats-officedocument.drawing+xml"/>
  <Override PartName="/xl/pivotTables/pivotTable15.xml" ContentType="application/vnd.openxmlformats-officedocument.spreadsheetml.pivotTable+xml"/>
  <Override PartName="/xl/slicers/slicer20.xml" ContentType="application/vnd.ms-excel.slicer+xml"/>
  <Override PartName="/xl/drawings/drawing23.xml" ContentType="application/vnd.openxmlformats-officedocument.drawing+xml"/>
  <Override PartName="/xl/slicers/slicer19.xml" ContentType="application/vnd.ms-excel.slicer+xml"/>
  <Override PartName="/xl/drawings/drawing22.xml" ContentType="application/vnd.openxmlformats-officedocument.drawing+xml"/>
  <Override PartName="/xl/slicers/slicer18.xml" ContentType="application/vnd.ms-excel.slicer+xml"/>
  <Override PartName="/xl/slicers/slicer21.xml" ContentType="application/vnd.ms-excel.slicer+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9.xml" ContentType="application/vnd.openxmlformats-officedocument.spreadsheetml.pivotTable+xml"/>
  <Override PartName="/xl/slicers/slicer23.xml" ContentType="application/vnd.ms-excel.slicer+xml"/>
  <Override PartName="/xl/drawings/drawing26.xml" ContentType="application/vnd.openxmlformats-officedocument.drawing+xml"/>
  <Override PartName="/xl/pivotTables/pivotTable18.xml" ContentType="application/vnd.openxmlformats-officedocument.spreadsheetml.pivotTable+xml"/>
  <Override PartName="/xl/slicers/slicer22.xml" ContentType="application/vnd.ms-excel.slicer+xml"/>
  <Override PartName="/xl/drawings/drawing25.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46.xml" ContentType="application/vnd.openxmlformats-officedocument.drawing+xml"/>
  <Override PartName="/xl/pivotTables/pivotTable28.xml" ContentType="application/vnd.openxmlformats-officedocument.spreadsheetml.pivotTable+xml"/>
  <Override PartName="/xl/pivotTables/pivotTable27.xml" ContentType="application/vnd.openxmlformats-officedocument.spreadsheetml.pivotTable+xml"/>
  <Override PartName="/xl/pivotTables/pivotTable26.xml" ContentType="application/vnd.openxmlformats-officedocument.spreadsheetml.pivotTable+xml"/>
  <Override PartName="/xl/slicers/slicer32.xml" ContentType="application/vnd.ms-excel.slicer+xml"/>
  <Override PartName="/xl/drawings/drawing45.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slicers/slicer35.xml" ContentType="application/vnd.ms-excel.slicer+xml"/>
  <Override PartName="/xl/drawings/drawing50.xml" ContentType="application/vnd.openxmlformats-officedocument.drawing+xml"/>
  <Override PartName="/xl/pivotTables/pivotTable29.xml" ContentType="application/vnd.openxmlformats-officedocument.spreadsheetml.pivotTable+xml"/>
  <Override PartName="/xl/slicers/slicer34.xml" ContentType="application/vnd.ms-excel.slicer+xml"/>
  <Override PartName="/xl/drawings/drawing49.xml" ContentType="application/vnd.openxmlformats-officedocument.drawing+xml"/>
  <Override PartName="/xl/slicers/slicer33.xml" ContentType="application/vnd.ms-excel.slicer+xml"/>
  <Override PartName="/xl/pivotTables/pivotTable25.xml" ContentType="application/vnd.openxmlformats-officedocument.spreadsheetml.pivotTable+xml"/>
  <Override PartName="/xl/pivotTables/pivotTable24.xml" ContentType="application/vnd.openxmlformats-officedocument.spreadsheetml.pivotTable+xml"/>
  <Override PartName="/xl/charts/chart3.xml" ContentType="application/vnd.openxmlformats-officedocument.drawingml.chart+xml"/>
  <Override PartName="/xl/worksheets/sheet9.xml" ContentType="application/vnd.openxmlformats-officedocument.spreadsheetml.worksheet+xml"/>
  <Override PartName="/xl/charts/chart2.xml" ContentType="application/vnd.openxmlformats-officedocument.drawingml.chart+xml"/>
  <Override PartName="/xl/drawings/drawing38.xml" ContentType="application/vnd.openxmlformats-officedocument.drawing+xml"/>
  <Override PartName="/xl/drawings/drawing37.xml" ContentType="application/vnd.openxmlformats-officedocument.drawing+xml"/>
  <Override PartName="/xl/worksheets/sheet1.xml" ContentType="application/vnd.openxmlformats-officedocument.spreadsheetml.worksheet+xml"/>
  <Override PartName="/xl/charts/chart4.xml" ContentType="application/vnd.openxmlformats-officedocument.drawingml.chart+xml"/>
  <Override PartName="/xl/worksheets/sheet7.xml" ContentType="application/vnd.openxmlformats-officedocument.spreadsheetml.worksheet+xml"/>
  <Override PartName="/xl/worksheets/sheet4.xml" ContentType="application/vnd.openxmlformats-officedocument.spreadsheetml.worksheet+xml"/>
  <Override PartName="/xl/charts/chart7.xml" ContentType="application/vnd.openxmlformats-officedocument.drawingml.chart+xml"/>
  <Override PartName="/xl/worksheets/sheet5.xml" ContentType="application/vnd.openxmlformats-officedocument.spreadsheetml.worksheet+xml"/>
  <Override PartName="/xl/charts/chart6.xml" ContentType="application/vnd.openxmlformats-officedocument.drawingml.chart+xml"/>
  <Override PartName="/xl/worksheets/sheet6.xml" ContentType="application/vnd.openxmlformats-officedocument.spreadsheetml.worksheet+xml"/>
  <Override PartName="/xl/charts/chart5.xml" ContentType="application/vnd.openxmlformats-officedocument.drawingml.chart+xml"/>
  <Override PartName="/xl/drawings/drawing21.xml" ContentType="application/vnd.openxmlformats-officedocument.drawing+xml"/>
  <Override PartName="/xl/worksheets/sheet8.xml" ContentType="application/vnd.openxmlformats-officedocument.spreadsheetml.worksheet+xml"/>
  <Override PartName="/xl/slicers/slicer17.xml" ContentType="application/vnd.ms-excel.slicer+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57.xml" ContentType="application/vnd.openxmlformats-officedocument.spreadsheetml.worksheet+xml"/>
  <Override PartName="/xl/slicerCaches/slicerCache14.xml" ContentType="application/vnd.ms-excel.slicerCache+xml"/>
  <Override PartName="/xl/slicerCaches/slicerCache13.xml" ContentType="application/vnd.ms-excel.slicerCache+xml"/>
  <Override PartName="/xl/slicerCaches/slicerCache12.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worksheets/sheet55.xml" ContentType="application/vnd.openxmlformats-officedocument.spreadsheetml.worksheet+xml"/>
  <Override PartName="/xl/worksheets/sheet56.xml" ContentType="application/vnd.openxmlformats-officedocument.spreadsheetml.worksheet+xml"/>
  <Override PartName="/xl/slicerCaches/slicerCache19.xml" ContentType="application/vnd.ms-excel.slicerCache+xml"/>
  <Override PartName="/xl/slicerCaches/slicerCache18.xml" ContentType="application/vnd.ms-excel.slicerCache+xml"/>
  <Override PartName="/xl/slicerCaches/slicerCache11.xml" ContentType="application/vnd.ms-excel.slicerCache+xml"/>
  <Override PartName="/xl/slicerCaches/slicerCache10.xml" ContentType="application/vnd.ms-excel.slicerCache+xml"/>
  <Override PartName="/xl/worksheets/sheet58.xml" ContentType="application/vnd.openxmlformats-officedocument.spreadsheetml.worksheet+xml"/>
  <Override PartName="/xl/slicerCaches/slicerCache3.xml" ContentType="application/vnd.ms-excel.slicerCache+xml"/>
  <Override PartName="/xl/slicerCaches/slicerCache2.xml" ContentType="application/vnd.ms-excel.slicerCache+xml"/>
  <Override PartName="/xl/slicerCaches/slicerCache1.xml" ContentType="application/vnd.ms-excel.slicerCache+xml"/>
  <Override PartName="/xl/worksheets/sheet60.xml" ContentType="application/vnd.openxmlformats-officedocument.spreadsheetml.worksheet+xml"/>
  <Override PartName="/xl/slicerCaches/slicerCache4.xml" ContentType="application/vnd.ms-excel.slicerCache+xml"/>
  <Override PartName="/xl/worksheets/sheet59.xml" ContentType="application/vnd.openxmlformats-officedocument.spreadsheetml.worksheet+xml"/>
  <Override PartName="/xl/slicerCaches/slicerCache5.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25.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39.xml" ContentType="application/vnd.openxmlformats-officedocument.spreadsheetml.worksheet+xml"/>
  <Override PartName="/xl/worksheets/sheet138.xml" ContentType="application/vnd.openxmlformats-officedocument.spreadsheetml.worksheet+xml"/>
  <Override PartName="/xl/worksheets/sheet137.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18.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106.xml" ContentType="application/vnd.openxmlformats-officedocument.spreadsheetml.worksheet+xml"/>
  <Override PartName="/xl/slicerCaches/slicerCache20.xml" ContentType="application/vnd.ms-excel.slicerCache+xml"/>
  <Override PartName="/xl/slicerCaches/slicerCache6.xml" ContentType="application/vnd.ms-excel.slicerCache+xml"/>
  <Override PartName="/xl/worksheets/sheet5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slicers/slicer6.xml" ContentType="application/vnd.ms-excel.slicer+xml"/>
  <Override PartName="/xl/drawings/drawing9.xml" ContentType="application/vnd.openxmlformats-officedocument.drawing+xml"/>
  <Override PartName="/xl/slicers/slicer5.xml" ContentType="application/vnd.ms-excel.slicer+xml"/>
  <Override PartName="/xl/drawings/drawing8.xml" ContentType="application/vnd.openxmlformats-officedocument.drawing+xml"/>
  <Override PartName="/xl/worksheets/sheet27.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0.xml" ContentType="application/vnd.openxmlformats-officedocument.spreadsheetml.worksheet+xml"/>
  <Override PartName="/xl/slicers/slicer8.xml" ContentType="application/vnd.ms-excel.slicer+xml"/>
  <Override PartName="/xl/drawings/drawing11.xml" ContentType="application/vnd.openxmlformats-officedocument.drawing+xml"/>
  <Override PartName="/xl/worksheets/sheet21.xml" ContentType="application/vnd.openxmlformats-officedocument.spreadsheetml.worksheet+xml"/>
  <Override PartName="/xl/slicers/slicer7.xml" ContentType="application/vnd.ms-excel.slicer+xml"/>
  <Override PartName="/xl/drawings/drawing10.xml" ContentType="application/vnd.openxmlformats-officedocument.drawing+xml"/>
  <Override PartName="/xl/slicers/slicer4.xml" ContentType="application/vnd.ms-excel.slicer+xml"/>
  <Override PartName="/xl/worksheets/sheet28.xml" ContentType="application/vnd.openxmlformats-officedocument.spreadsheetml.worksheet+xml"/>
  <Override PartName="/xl/worksheets/sheet29.xml" ContentType="application/vnd.openxmlformats-officedocument.spreadsheetml.worksheet+xml"/>
  <Override PartName="/xl/slicers/slicer2.xml" ContentType="application/vnd.ms-excel.slicer+xml"/>
  <Override PartName="/xl/drawings/drawing5.xml" ContentType="application/vnd.openxmlformats-officedocument.drawing+xml"/>
  <Override PartName="/xl/worksheets/sheet36.xml" ContentType="application/vnd.openxmlformats-officedocument.spreadsheetml.worksheet+xml"/>
  <Override PartName="/xl/slicers/slicer1.xml" ContentType="application/vnd.ms-excel.slicer+xml"/>
  <Override PartName="/xl/drawings/drawing4.xml" ContentType="application/vnd.openxmlformats-officedocument.drawing+xml"/>
  <Override PartName="/xl/pivotTables/pivotTable4.xml" ContentType="application/vnd.openxmlformats-officedocument.spreadsheetml.pivotTable+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drawings/drawing7.xml" ContentType="application/vnd.openxmlformats-officedocument.drawing+xml"/>
  <Override PartName="/xl/worksheets/sheet32.xml" ContentType="application/vnd.openxmlformats-officedocument.spreadsheetml.worksheet+xml"/>
  <Override PartName="/xl/slicers/slicer3.xml" ContentType="application/vnd.ms-excel.slicer+xml"/>
  <Override PartName="/xl/drawings/drawing6.xml" ContentType="application/vnd.openxmlformats-officedocument.drawing+xml"/>
  <Override PartName="/xl/worksheets/sheet19.xml" ContentType="application/vnd.openxmlformats-officedocument.spreadsheetml.worksheet+xml"/>
  <Override PartName="/xl/drawings/drawing12.xml" ContentType="application/vnd.openxmlformats-officedocument.drawing+xml"/>
  <Override PartName="/xl/slicers/slicer9.xml" ContentType="application/vnd.ms-excel.slicer+xml"/>
  <Override PartName="/xl/drawings/drawing18.xml" ContentType="application/vnd.openxmlformats-officedocument.drawing+xml"/>
  <Override PartName="/xl/pivotTables/pivotTable13.xml" ContentType="application/vnd.openxmlformats-officedocument.spreadsheetml.pivotTable+xml"/>
  <Override PartName="/xl/pivotTables/pivotTable12.xml" ContentType="application/vnd.openxmlformats-officedocument.spreadsheetml.pivotTable+xml"/>
  <Override PartName="/xl/pivotTables/pivotTable11.xml" ContentType="application/vnd.openxmlformats-officedocument.spreadsheetml.pivotTable+xml"/>
  <Override PartName="/xl/slicers/slicer14.xml" ContentType="application/vnd.ms-excel.slicer+xml"/>
  <Override PartName="/xl/drawings/drawing17.xml" ContentType="application/vnd.openxmlformats-officedocument.drawing+xml"/>
  <Override PartName="/xl/slicers/slicer15.xml" ContentType="application/vnd.ms-excel.slicer+xml"/>
  <Override PartName="/xl/worksheets/sheet14.xml" ContentType="application/vnd.openxmlformats-officedocument.spreadsheetml.worksheet+xml"/>
  <Override PartName="/xl/drawings/drawing19.xml" ContentType="application/vnd.openxmlformats-officedocument.drawing+xml"/>
  <Override PartName="/xl/drawings/drawing20.xml" ContentType="application/vnd.openxmlformats-officedocument.drawing+xml"/>
  <Override PartName="/xl/worksheets/sheet11.xml" ContentType="application/vnd.openxmlformats-officedocument.spreadsheetml.worksheet+xml"/>
  <Override PartName="/xl/pivotTables/pivotTable14.xml" ContentType="application/vnd.openxmlformats-officedocument.spreadsheetml.pivotTable+xml"/>
  <Override PartName="/xl/slicers/slicer16.xml" ContentType="application/vnd.ms-excel.slicer+xml"/>
  <Override PartName="/xl/worksheets/sheet12.xml" ContentType="application/vnd.openxmlformats-officedocument.spreadsheetml.worksheet+xml"/>
  <Override PartName="/xl/worksheets/sheet13.xml" ContentType="application/vnd.openxmlformats-officedocument.spreadsheetml.worksheet+xml"/>
  <Override PartName="/xl/pivotTables/pivotTable10.xml" ContentType="application/vnd.openxmlformats-officedocument.spreadsheetml.pivotTable+xml"/>
  <Override PartName="/xl/slicers/slicer13.xml" ContentType="application/vnd.ms-excel.slicer+xml"/>
  <Override PartName="/xl/drawings/drawing16.xml" ContentType="application/vnd.openxmlformats-officedocument.drawing+xml"/>
  <Override PartName="/xl/drawings/drawing14.xml" ContentType="application/vnd.openxmlformats-officedocument.drawing+xml"/>
  <Override PartName="/xl/pivotTables/pivotTable5.xml" ContentType="application/vnd.openxmlformats-officedocument.spreadsheetml.pivotTable+xml"/>
  <Override PartName="/xl/slicers/slicer10.xml" ContentType="application/vnd.ms-excel.slicer+xml"/>
  <Override PartName="/xl/worksheets/sheet17.xml" ContentType="application/vnd.openxmlformats-officedocument.spreadsheetml.worksheet+xml"/>
  <Override PartName="/xl/drawings/drawing13.xml" ContentType="application/vnd.openxmlformats-officedocument.drawing+xml"/>
  <Override PartName="/xl/worksheets/sheet18.xml" ContentType="application/vnd.openxmlformats-officedocument.spreadsheetml.worksheet+xml"/>
  <Override PartName="/xl/slicers/slicer11.xml" ContentType="application/vnd.ms-excel.slicer+xml"/>
  <Override PartName="/xl/pivotTables/pivotTable6.xml" ContentType="application/vnd.openxmlformats-officedocument.spreadsheetml.pivotTable+xml"/>
  <Override PartName="/xl/worksheets/sheet16.xml" ContentType="application/vnd.openxmlformats-officedocument.spreadsheetml.worksheet+xml"/>
  <Override PartName="/xl/pivotTables/pivotTable9.xml" ContentType="application/vnd.openxmlformats-officedocument.spreadsheetml.pivotTable+xml"/>
  <Override PartName="/xl/slicers/slicer12.xml" ContentType="application/vnd.ms-excel.slicer+xml"/>
  <Override PartName="/xl/drawings/drawing15.xml" ContentType="application/vnd.openxmlformats-officedocument.drawing+xml"/>
  <Override PartName="/xl/worksheets/sheet15.xml" ContentType="application/vnd.openxmlformats-officedocument.spreadsheetml.worksheet+xml"/>
  <Override PartName="/xl/pivotTables/pivotTable8.xml" ContentType="application/vnd.openxmlformats-officedocument.spreadsheetml.pivotTable+xml"/>
  <Override PartName="/xl/pivotTables/pivotTable7.xml" ContentType="application/vnd.openxmlformats-officedocument.spreadsheetml.pivotTable+xml"/>
  <Override PartName="/xl/slicerCaches/slicerCache21.xml" ContentType="application/vnd.ms-excel.slicerCache+xml"/>
  <Override PartName="/xl/pivotTables/pivotTable3.xml" ContentType="application/vnd.openxmlformats-officedocument.spreadsheetml.pivotTable+xml"/>
  <Override PartName="/xl/pivotTables/pivotTable1.xml" ContentType="application/vnd.openxmlformats-officedocument.spreadsheetml.pivotTable+xml"/>
  <Override PartName="/xl/worksheets/sheet44.xml" ContentType="application/vnd.openxmlformats-officedocument.spreadsheetml.worksheet+xml"/>
  <Override PartName="/xl/charts/chart1.xml" ContentType="application/vnd.openxmlformats-officedocument.drawingml.chart+xml"/>
  <Override PartName="/xl/drawings/drawing1.xml" ContentType="application/vnd.openxmlformats-officedocument.drawing+xml"/>
  <Override PartName="/xl/worksheets/sheet45.xml" ContentType="application/vnd.openxmlformats-officedocument.spreadsheetml.worksheet+xml"/>
  <Override PartName="/xl/worksheets/sheet46.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charts/style1.xml" ContentType="application/vnd.ms-office.chartstyle+xml"/>
  <Override PartName="/xl/worksheets/sheet40.xml" ContentType="application/vnd.openxmlformats-officedocument.spreadsheetml.worksheet+xml"/>
  <Override PartName="/xl/drawings/drawing2.xml" ContentType="application/vnd.openxmlformats-officedocument.drawing+xml"/>
  <Override PartName="/xl/worksheets/sheet41.xml" ContentType="application/vnd.openxmlformats-officedocument.spreadsheetml.worksheet+xml"/>
  <Override PartName="/xl/charts/colors1.xml" ContentType="application/vnd.ms-office.chartcolorstyle+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slicerCaches/slicerCache26.xml" ContentType="application/vnd.ms-excel.slicerCache+xml"/>
  <Override PartName="/xl/slicerCaches/slicerCache25.xml" ContentType="application/vnd.ms-excel.slicerCache+xml"/>
  <Override PartName="/xl/slicerCaches/slicerCache24.xml" ContentType="application/vnd.ms-excel.slicerCache+xml"/>
  <Override PartName="/xl/slicerCaches/slicerCache23.xml" ContentType="application/vnd.ms-excel.slicerCache+xml"/>
  <Override PartName="/xl/slicerCaches/slicerCache22.xml" ContentType="application/vnd.ms-excel.slicerCache+xml"/>
  <Override PartName="/xl/slicerCaches/slicerCache27.xml" ContentType="application/vnd.ms-excel.slicerCache+xml"/>
  <Override PartName="/xl/theme/theme1.xml" ContentType="application/vnd.openxmlformats-officedocument.theme+xml"/>
  <Override PartName="/xl/styles.xml" ContentType="application/vnd.openxmlformats-officedocument.spreadsheetml.styles+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sharedStrings.xml" ContentType="application/vnd.openxmlformats-officedocument.spreadsheetml.sharedStrings+xml"/>
  <Override PartName="/xl/worksheets/sheet53.xml" ContentType="application/vnd.openxmlformats-officedocument.spreadsheetml.worksheet+xml"/>
  <Override PartName="/xl/drawings/drawing3.xml" ContentType="application/vnd.openxmlformats-officedocument.drawing+xml"/>
  <Override PartName="/xl/pivotTables/pivotTable2.xml" ContentType="application/vnd.openxmlformats-officedocument.spreadsheetml.pivotTable+xml"/>
  <Override PartName="/xl/worksheets/sheet39.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2.xml" ContentType="application/vnd.openxmlformats-officedocument.spreadsheetml.pivotCacheDefinition+xml"/>
  <Override PartName="/xl/pivotCache/pivotCacheRecords31.xml" ContentType="application/vnd.openxmlformats-officedocument.spreadsheetml.pivotCacheRecords+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pivotCache/pivotCacheRecords16.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3.xml" ContentType="application/vnd.openxmlformats-officedocument.spreadsheetml.pivotCacheDefinition+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Definition22.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8.xml" ContentType="application/vnd.openxmlformats-officedocument.spreadsheetml.pivotCacheRecords+xml"/>
  <Override PartName="/xl/pivotCache/pivotCacheRecords12.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22.xml" ContentType="application/vnd.openxmlformats-officedocument.spreadsheetml.pivotCacheRecords+xml"/>
  <Override PartName="/xl/pivotCache/pivotCacheRecords23.xml" ContentType="application/vnd.openxmlformats-officedocument.spreadsheetml.pivotCacheRecords+xml"/>
  <Override PartName="/xl/pivotCache/pivotCacheRecords27.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4.xml" ContentType="application/vnd.openxmlformats-officedocument.spreadsheetml.pivotCacheDefinition+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ivotCache/pivotCacheDefinition31.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29.xml" ContentType="application/vnd.openxmlformats-officedocument.spreadsheetml.pivotCacheRecords+xml"/>
  <Override PartName="/xl/pivotCache/pivotCacheRecords1.xml" ContentType="application/vnd.openxmlformats-officedocument.spreadsheetml.pivotCacheRecord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gregor.welsh\Local_Documents\Databases\"/>
    </mc:Choice>
  </mc:AlternateContent>
  <workbookProtection workbookAlgorithmName="SHA-512" workbookHashValue="xrFJVK1Qd1gx7Mr/++7nCJOtItEoDh78YBv+hGZVqDpXWd8jhHWsYVMVlBF0hWXM1HBGj9zpmHgEBfcrX+HD+A==" workbookSaltValue="StA3659Etd5OpaCyNWseLw==" workbookSpinCount="100000" lockStructure="1"/>
  <bookViews>
    <workbookView xWindow="0" yWindow="0" windowWidth="10215" windowHeight="7230" tabRatio="601"/>
  </bookViews>
  <sheets>
    <sheet name="Information" sheetId="4" r:id="rId1"/>
    <sheet name="Table of Contents" sheetId="99" r:id="rId2"/>
    <sheet name="Structure" sheetId="38" r:id="rId3"/>
    <sheet name="Crewing Model" sheetId="100" r:id="rId4"/>
    <sheet name="Crewing Model - Area" sheetId="23" r:id="rId5"/>
    <sheet name="Primary Crewing" sheetId="22" r:id="rId6"/>
    <sheet name="Primary Crewing - Area" sheetId="101" r:id="rId7"/>
    <sheet name="Chart - Station Type" sheetId="92" r:id="rId8"/>
    <sheet name="Chart - Area" sheetId="103" r:id="rId9"/>
    <sheet name="Chart - Map" sheetId="104" r:id="rId10"/>
    <sheet name="Vehicles" sheetId="24" r:id="rId11"/>
    <sheet name="h14" sheetId="78" state="hidden" r:id="rId12"/>
    <sheet name="h14a" sheetId="86" state="hidden" r:id="rId13"/>
    <sheet name="Appliances LA" sheetId="25" r:id="rId14"/>
    <sheet name="Staffing" sheetId="2" r:id="rId15"/>
    <sheet name="Department" sheetId="61" r:id="rId16"/>
    <sheet name="Geographic Structure" sheetId="3" r:id="rId17"/>
    <sheet name="Small Area" sheetId="7" r:id="rId18"/>
    <sheet name="Role" sheetId="94" r:id="rId19"/>
    <sheet name="Role - Area" sheetId="93" r:id="rId20"/>
    <sheet name="WT Role - Area" sheetId="8" r:id="rId21"/>
    <sheet name="RDS Role - Area" sheetId="9" r:id="rId22"/>
    <sheet name="C&amp;S Role - Area" sheetId="10" r:id="rId23"/>
    <sheet name="Vol Role - Area" sheetId="11" r:id="rId24"/>
    <sheet name="h4" sheetId="63" state="hidden" r:id="rId25"/>
    <sheet name="h2" sheetId="60" state="hidden" r:id="rId26"/>
    <sheet name="h3" sheetId="62" state="hidden" r:id="rId27"/>
    <sheet name="h4b" sheetId="64" state="hidden" r:id="rId28"/>
    <sheet name="h4cde" sheetId="65" state="hidden" r:id="rId29"/>
    <sheet name="WT FTE Role - Area" sheetId="12" r:id="rId30"/>
    <sheet name="h5a" sheetId="66" state="hidden" r:id="rId31"/>
    <sheet name="RDS FTE Role - Area" sheetId="13" r:id="rId32"/>
    <sheet name="C&amp;S FTE Role - Area" sheetId="14" r:id="rId33"/>
    <sheet name="Gender Timeseries" sheetId="15" r:id="rId34"/>
    <sheet name="Gender" sheetId="17" r:id="rId35"/>
    <sheet name="h5b" sheetId="67" state="hidden" r:id="rId36"/>
    <sheet name="h5cd" sheetId="68" state="hidden" r:id="rId37"/>
    <sheet name="h7" sheetId="69" state="hidden" r:id="rId38"/>
    <sheet name="h8" sheetId="70" state="hidden" r:id="rId39"/>
    <sheet name="Gender and Role" sheetId="16" r:id="rId40"/>
    <sheet name="FTE Gender and Role" sheetId="18" r:id="rId41"/>
    <sheet name="h9" sheetId="71" state="hidden" r:id="rId42"/>
    <sheet name="Age" sheetId="19" r:id="rId43"/>
    <sheet name="h10" sheetId="72" state="hidden" r:id="rId44"/>
    <sheet name="Service Length" sheetId="40" r:id="rId45"/>
    <sheet name="h10c" sheetId="73" state="hidden" r:id="rId46"/>
    <sheet name="Ethnicity" sheetId="20" r:id="rId47"/>
    <sheet name="h11" sheetId="75" state="hidden" r:id="rId48"/>
    <sheet name="Disability" sheetId="21" r:id="rId49"/>
    <sheet name="Entrants - Demographics" sheetId="76" r:id="rId50"/>
    <sheet name="Leavers" sheetId="96" r:id="rId51"/>
    <sheet name="Chart Headcount" sheetId="43" r:id="rId52"/>
    <sheet name="Chart FTE" sheetId="98" r:id="rId53"/>
    <sheet name="Chart Gender" sheetId="44" r:id="rId54"/>
    <sheet name="Chart Age" sheetId="45" r:id="rId55"/>
    <sheet name="h13" sheetId="77" state="hidden" r:id="rId56"/>
    <sheet name="Attacks" sheetId="26" r:id="rId57"/>
    <sheet name="h15" sheetId="79" state="hidden" r:id="rId58"/>
    <sheet name="Attacks - Area" sheetId="27" r:id="rId59"/>
    <sheet name="h16" sheetId="80" state="hidden" r:id="rId60"/>
    <sheet name="Chart - Attacks" sheetId="48" r:id="rId61"/>
    <sheet name="Chart - Injuries" sheetId="58" r:id="rId62"/>
    <sheet name="HFSVs" sheetId="28" r:id="rId63"/>
    <sheet name="Distinct Properties" sheetId="105" r:id="rId64"/>
    <sheet name="Distinct Propert. Popul." sheetId="106" r:id="rId65"/>
    <sheet name="Residents" sheetId="81" r:id="rId66"/>
    <sheet name="SIMD" sheetId="82" r:id="rId67"/>
    <sheet name="Rurality" sheetId="107" r:id="rId68"/>
    <sheet name="HFSVs LA" sheetId="30" r:id="rId69"/>
    <sheet name="Outcome LA" sheetId="31" r:id="rId70"/>
    <sheet name="h19" sheetId="88" state="hidden" r:id="rId71"/>
    <sheet name="Rate LA" sheetId="32" r:id="rId72"/>
    <sheet name="Chart HFSVs" sheetId="50" r:id="rId73"/>
    <sheet name="Chart Alarms" sheetId="109" r:id="rId74"/>
    <sheet name="Chart Residents" sheetId="110" r:id="rId75"/>
    <sheet name="Chart Rurality" sheetId="111" r:id="rId76"/>
    <sheet name="Chart LA" sheetId="112" r:id="rId77"/>
    <sheet name="Workflows" sheetId="33" r:id="rId78"/>
    <sheet name="Audits" sheetId="113" r:id="rId79"/>
    <sheet name="Audits LA" sheetId="34" r:id="rId80"/>
    <sheet name="h20a" sheetId="83" state="hidden" r:id="rId81"/>
    <sheet name="Audits Outcome" sheetId="35" r:id="rId82"/>
    <sheet name="h21" sheetId="84" state="hidden" r:id="rId83"/>
    <sheet name="Audits Outcome LA" sheetId="36" r:id="rId84"/>
    <sheet name="h22" sheetId="85" state="hidden" r:id="rId85"/>
    <sheet name="Notices" sheetId="42" r:id="rId86"/>
    <sheet name="Risk" sheetId="89" r:id="rId87"/>
    <sheet name="h23" sheetId="90" state="hidden" r:id="rId88"/>
    <sheet name="Chart Workflows" sheetId="54" r:id="rId89"/>
    <sheet name="Chart Audits" sheetId="55" r:id="rId90"/>
    <sheet name="TRS" sheetId="114" state="hidden" r:id="rId91"/>
    <sheet name="T1" sheetId="115" state="hidden" r:id="rId92"/>
    <sheet name="T1pm" sheetId="116" state="hidden" r:id="rId93"/>
    <sheet name="null" sheetId="117" state="hidden" r:id="rId94"/>
    <sheet name="T2" sheetId="118" state="hidden" r:id="rId95"/>
    <sheet name="T2a" sheetId="119" state="hidden" r:id="rId96"/>
    <sheet name="T2b" sheetId="120" state="hidden" r:id="rId97"/>
    <sheet name="T2U" sheetId="121" state="hidden" r:id="rId98"/>
    <sheet name="T3" sheetId="122" state="hidden" r:id="rId99"/>
    <sheet name="T4a" sheetId="123" state="hidden" r:id="rId100"/>
    <sheet name="T4b" sheetId="124" state="hidden" r:id="rId101"/>
    <sheet name="T4c" sheetId="125" state="hidden" r:id="rId102"/>
    <sheet name="T4d" sheetId="126" state="hidden" r:id="rId103"/>
    <sheet name="T4e" sheetId="127" state="hidden" r:id="rId104"/>
    <sheet name="T5a" sheetId="128" state="hidden" r:id="rId105"/>
    <sheet name="T5b" sheetId="129" state="hidden" r:id="rId106"/>
    <sheet name="T5c" sheetId="130" state="hidden" r:id="rId107"/>
    <sheet name="T5d" sheetId="131" state="hidden" r:id="rId108"/>
    <sheet name="T6" sheetId="132" state="hidden" r:id="rId109"/>
    <sheet name="T7" sheetId="133" state="hidden" r:id="rId110"/>
    <sheet name="T8" sheetId="134" state="hidden" r:id="rId111"/>
    <sheet name="T9" sheetId="135" state="hidden" r:id="rId112"/>
    <sheet name="T10" sheetId="136" state="hidden" r:id="rId113"/>
    <sheet name="T10c" sheetId="137" state="hidden" r:id="rId114"/>
    <sheet name="Tleave" sheetId="138" state="hidden" r:id="rId115"/>
    <sheet name="Tentrant" sheetId="139" state="hidden" r:id="rId116"/>
    <sheet name="T11" sheetId="140" state="hidden" r:id="rId117"/>
    <sheet name="T10cc" sheetId="141" state="hidden" r:id="rId118"/>
    <sheet name="T12" sheetId="142" state="hidden" r:id="rId119"/>
    <sheet name="T13" sheetId="143" state="hidden" r:id="rId120"/>
    <sheet name="T13cm" sheetId="144" state="hidden" r:id="rId121"/>
    <sheet name="T15i" sheetId="145" state="hidden" r:id="rId122"/>
    <sheet name="T14" sheetId="146" state="hidden" r:id="rId123"/>
    <sheet name="T14a" sheetId="147" state="hidden" r:id="rId124"/>
    <sheet name="T14ap" sheetId="148" state="hidden" r:id="rId125"/>
    <sheet name="T15" sheetId="149" state="hidden" r:id="rId126"/>
    <sheet name="T16" sheetId="150" state="hidden" r:id="rId127"/>
    <sheet name="T17" sheetId="151" state="hidden" r:id="rId128"/>
    <sheet name="T17ap" sheetId="152" state="hidden" r:id="rId129"/>
    <sheet name="T17dv" sheetId="153" state="hidden" r:id="rId130"/>
    <sheet name="T19dz" sheetId="154" state="hidden" r:id="rId131"/>
    <sheet name="T20d" sheetId="155" state="hidden" r:id="rId132"/>
    <sheet name="T21n" sheetId="156" state="hidden" r:id="rId133"/>
    <sheet name="T19" sheetId="157" state="hidden" r:id="rId134"/>
    <sheet name="T19c" sheetId="158" state="hidden" r:id="rId135"/>
    <sheet name="T19c2" sheetId="159" state="hidden" r:id="rId136"/>
    <sheet name="T20" sheetId="160" state="hidden" r:id="rId137"/>
    <sheet name="T21" sheetId="161" state="hidden" r:id="rId138"/>
    <sheet name="T21a" sheetId="162" state="hidden" r:id="rId139"/>
    <sheet name="T22" sheetId="163" state="hidden" r:id="rId140"/>
    <sheet name="T22c" sheetId="164" state="hidden" r:id="rId141"/>
    <sheet name="T23" sheetId="165" state="hidden" r:id="rId142"/>
    <sheet name="T23c" sheetId="166" state="hidden" r:id="rId143"/>
  </sheets>
  <externalReferences>
    <externalReference r:id="rId144"/>
    <externalReference r:id="rId145"/>
  </externalReferences>
  <definedNames>
    <definedName name="aa">#REF!</definedName>
    <definedName name="AllStaffExcVol">'[1]Table 1a and 1b'!$J$10</definedName>
    <definedName name="AllStaffTotal">'[1]Table 1a and 1b'!$H$10</definedName>
    <definedName name="AllStationRankings">'[2]Chart 4d'!$D$5:$D$36</definedName>
    <definedName name="AllStations">'[2]Chart 4d'!$C$5:$C$36</definedName>
    <definedName name="AuditRankings">'[2]Chart 12'!$D$5:$D$36</definedName>
    <definedName name="AuditRates">'[2]Chart 12'!$C$5:$C$36</definedName>
    <definedName name="ControlHeadcount">'[1]Table 1a and 1b'!$D$10</definedName>
    <definedName name="d">#REF!</definedName>
    <definedName name="FiscalYr">'[1]Fiscal Year - Set as Hidden'!$D$5</definedName>
    <definedName name="HFSV">'[2]Chart 10'!$C$5:$C$36</definedName>
    <definedName name="HFSVAbsRankings">'[2]Chart 10'!$D$5:$D$36</definedName>
    <definedName name="PremisesRankings">'[2]Chart 13'!$D$5:$D$19</definedName>
    <definedName name="PremisesRates">'[2]Chart 13'!$C$5:$C$19</definedName>
    <definedName name="_xlnm.Print_Area" localSheetId="16">'Geographic Structure'!$A$3:$J$26</definedName>
    <definedName name="_xlnm.Print_Area" localSheetId="0">Information!$A$1:$L$29</definedName>
    <definedName name="_xlnm.Print_Area" localSheetId="71">'Rate LA'!$B$9:$G$48</definedName>
    <definedName name="_xlnm.Print_Area" localSheetId="14">Staffing!$A$2:$J$61</definedName>
    <definedName name="_xlnm.Print_Titles" localSheetId="93">null!$4:$4</definedName>
    <definedName name="_xlnm.Print_Titles" localSheetId="91">'T1'!$15:$15</definedName>
    <definedName name="_xlnm.Print_Titles" localSheetId="112">'T10'!$4:$4</definedName>
    <definedName name="_xlnm.Print_Titles" localSheetId="113">T10c!$4:$4</definedName>
    <definedName name="_xlnm.Print_Titles" localSheetId="117">T10cc!$4:$4</definedName>
    <definedName name="_xlnm.Print_Titles" localSheetId="116">'T11'!$4:$4</definedName>
    <definedName name="_xlnm.Print_Titles" localSheetId="118">'T12'!$4:$4</definedName>
    <definedName name="_xlnm.Print_Titles" localSheetId="119">'T13'!$15:$15</definedName>
    <definedName name="_xlnm.Print_Titles" localSheetId="120">T13cm!$25:$25</definedName>
    <definedName name="_xlnm.Print_Titles" localSheetId="122">'T14'!$75:$75</definedName>
    <definedName name="_xlnm.Print_Titles" localSheetId="123">T14a!$4:$4</definedName>
    <definedName name="_xlnm.Print_Titles" localSheetId="124">T14ap!$4:$4</definedName>
    <definedName name="_xlnm.Print_Titles" localSheetId="125">'T15'!$4:$4</definedName>
    <definedName name="_xlnm.Print_Titles" localSheetId="121">T15i!$4:$4</definedName>
    <definedName name="_xlnm.Print_Titles" localSheetId="126">'T16'!$4:$4</definedName>
    <definedName name="_xlnm.Print_Titles" localSheetId="127">'T17'!$4:$4</definedName>
    <definedName name="_xlnm.Print_Titles" localSheetId="128">T17ap!$4:$4</definedName>
    <definedName name="_xlnm.Print_Titles" localSheetId="129">T17dv!$4:$4</definedName>
    <definedName name="_xlnm.Print_Titles" localSheetId="133">'T19'!$4:$4</definedName>
    <definedName name="_xlnm.Print_Titles" localSheetId="134">T19c!$4:$4</definedName>
    <definedName name="_xlnm.Print_Titles" localSheetId="135">T19c2!$4:$4</definedName>
    <definedName name="_xlnm.Print_Titles" localSheetId="130">T19dz!$30:$30</definedName>
    <definedName name="_xlnm.Print_Titles" localSheetId="92">T1pm!$4:$4</definedName>
    <definedName name="_xlnm.Print_Titles" localSheetId="94">'T2'!$4:$4</definedName>
    <definedName name="_xlnm.Print_Titles" localSheetId="136">'T20'!$40:$40</definedName>
    <definedName name="_xlnm.Print_Titles" localSheetId="131">T20d!$4:$4</definedName>
    <definedName name="_xlnm.Print_Titles" localSheetId="137">'T21'!$35:$35</definedName>
    <definedName name="_xlnm.Print_Titles" localSheetId="138">T21a!$4:$4</definedName>
    <definedName name="_xlnm.Print_Titles" localSheetId="132">T21n!$4:$4</definedName>
    <definedName name="_xlnm.Print_Titles" localSheetId="139">'T22'!$4:$4</definedName>
    <definedName name="_xlnm.Print_Titles" localSheetId="140">T22c!$4:$4</definedName>
    <definedName name="_xlnm.Print_Titles" localSheetId="141">'T23'!$4:$4</definedName>
    <definedName name="_xlnm.Print_Titles" localSheetId="142">T23c!$4:$4</definedName>
    <definedName name="_xlnm.Print_Titles" localSheetId="95">T2a!$4:$4</definedName>
    <definedName name="_xlnm.Print_Titles" localSheetId="96">T2b!$4:$4</definedName>
    <definedName name="_xlnm.Print_Titles" localSheetId="97">T2U!$40:$40</definedName>
    <definedName name="_xlnm.Print_Titles" localSheetId="98">'T3'!$4:$4</definedName>
    <definedName name="_xlnm.Print_Titles" localSheetId="99">T4a!$4:$4</definedName>
    <definedName name="_xlnm.Print_Titles" localSheetId="100">T4b!$4:$4</definedName>
    <definedName name="_xlnm.Print_Titles" localSheetId="101">T4c!$4:$4</definedName>
    <definedName name="_xlnm.Print_Titles" localSheetId="102">T4d!$4:$4</definedName>
    <definedName name="_xlnm.Print_Titles" localSheetId="103">T4e!$4:$4</definedName>
    <definedName name="_xlnm.Print_Titles" localSheetId="104">T5a!$4:$4</definedName>
    <definedName name="_xlnm.Print_Titles" localSheetId="105">T5b!$4:$4</definedName>
    <definedName name="_xlnm.Print_Titles" localSheetId="106">T5c!$4:$4</definedName>
    <definedName name="_xlnm.Print_Titles" localSheetId="107">T5d!$4:$4</definedName>
    <definedName name="_xlnm.Print_Titles" localSheetId="108">'T6'!$4:$4</definedName>
    <definedName name="_xlnm.Print_Titles" localSheetId="109">'T7'!$4:$4</definedName>
    <definedName name="_xlnm.Print_Titles" localSheetId="110">'T8'!$4:$4</definedName>
    <definedName name="_xlnm.Print_Titles" localSheetId="111">'T9'!$4:$4</definedName>
    <definedName name="_xlnm.Print_Titles" localSheetId="115">Tentrant!$75:$75</definedName>
    <definedName name="_xlnm.Print_Titles" localSheetId="114">Tleave!$4:$4</definedName>
    <definedName name="_xlnm.Print_Titles" localSheetId="90">TRS!$4:$4</definedName>
    <definedName name="RDSHeadcount">'[1]Table 1a and 1b'!$C$10</definedName>
    <definedName name="RDSStationRankings">'[2]Chart 4b'!$D$5:$D$36</definedName>
    <definedName name="RDSStations">'[2]Chart 4b'!$C$5:$C$36</definedName>
    <definedName name="Slicer_FinYear">#N/A</definedName>
    <definedName name="Slicer_FinYear1">#N/A</definedName>
    <definedName name="Slicer_FinYear2">#N/A</definedName>
    <definedName name="Slicer_FinYear3">#N/A</definedName>
    <definedName name="Slicer_FinYear4">#N/A</definedName>
    <definedName name="Slicer_FinYear41">#N/A</definedName>
    <definedName name="Slicer_FinYr">#N/A</definedName>
    <definedName name="Slicer_FinYr1">#N/A</definedName>
    <definedName name="Slicer_FinYr10">#N/A</definedName>
    <definedName name="Slicer_FinYr11">#N/A</definedName>
    <definedName name="Slicer_FinYr12">#N/A</definedName>
    <definedName name="Slicer_FinYr14">#N/A</definedName>
    <definedName name="Slicer_FinYr2">#N/A</definedName>
    <definedName name="Slicer_FinYr3">#N/A</definedName>
    <definedName name="Slicer_FinYr4">#N/A</definedName>
    <definedName name="Slicer_FinYr5">#N/A</definedName>
    <definedName name="Slicer_FinYr6">#N/A</definedName>
    <definedName name="Slicer_FinYr7">#N/A</definedName>
    <definedName name="Slicer_FinYr8">#N/A</definedName>
    <definedName name="Slicer_FinYr9">#N/A</definedName>
    <definedName name="Slicer_FisYr">#N/A</definedName>
    <definedName name="Slicer_FisYr10">#N/A</definedName>
    <definedName name="Slicer_FisYr11">#N/A</definedName>
    <definedName name="Slicer_FisYr12">#N/A</definedName>
    <definedName name="Slicer_FisYr2">#N/A</definedName>
    <definedName name="Slicer_FisYr3">#N/A</definedName>
    <definedName name="Slicer_FisYr4">#N/A</definedName>
    <definedName name="Slicer_FisYr5">#N/A</definedName>
    <definedName name="Slicer_FisYr6">#N/A</definedName>
    <definedName name="Slicer_FisYr7">#N/A</definedName>
    <definedName name="Slicer_FisYr9">#N/A</definedName>
    <definedName name="Slicer_lvl">#N/A</definedName>
    <definedName name="SupportHeadcount">'[1]Table 1a and 1b'!$E$10</definedName>
    <definedName name="VolStationRankings">'[2]Chart 4c'!$D$5:$D$36</definedName>
    <definedName name="VolStations">'[2]Chart 4c'!$C$5:$C$36</definedName>
    <definedName name="VolunteerHeadcount">'[1]Table 1a and 1b'!$F$10</definedName>
    <definedName name="WTOperational">'[1]Table 1a and 1b'!$B$10</definedName>
    <definedName name="WTStationRankings">'[2]Chart 4a'!$D$5:$D$36</definedName>
    <definedName name="WTStations">'[2]Chart 4a'!$C$5:$C$36</definedName>
    <definedName name="x">#REF!</definedName>
    <definedName name="z">#REF!</definedName>
  </definedNames>
  <calcPr calcId="152511"/>
  <pivotCaches>
    <pivotCache cacheId="0" r:id="rId146"/>
    <pivotCache cacheId="1" r:id="rId147"/>
    <pivotCache cacheId="2" r:id="rId148"/>
    <pivotCache cacheId="3" r:id="rId149"/>
    <pivotCache cacheId="4" r:id="rId150"/>
    <pivotCache cacheId="5" r:id="rId151"/>
    <pivotCache cacheId="6" r:id="rId152"/>
    <pivotCache cacheId="7" r:id="rId153"/>
    <pivotCache cacheId="8" r:id="rId154"/>
    <pivotCache cacheId="9" r:id="rId155"/>
    <pivotCache cacheId="10" r:id="rId156"/>
    <pivotCache cacheId="11" r:id="rId157"/>
    <pivotCache cacheId="12" r:id="rId158"/>
    <pivotCache cacheId="13" r:id="rId159"/>
    <pivotCache cacheId="14" r:id="rId160"/>
    <pivotCache cacheId="15" r:id="rId161"/>
    <pivotCache cacheId="16" r:id="rId162"/>
    <pivotCache cacheId="17" r:id="rId163"/>
    <pivotCache cacheId="18" r:id="rId164"/>
    <pivotCache cacheId="19" r:id="rId165"/>
    <pivotCache cacheId="20" r:id="rId166"/>
    <pivotCache cacheId="21" r:id="rId167"/>
    <pivotCache cacheId="22" r:id="rId168"/>
    <pivotCache cacheId="23" r:id="rId169"/>
    <pivotCache cacheId="24" r:id="rId170"/>
    <pivotCache cacheId="25" r:id="rId171"/>
    <pivotCache cacheId="26" r:id="rId172"/>
    <pivotCache cacheId="27" r:id="rId173"/>
    <pivotCache cacheId="28" r:id="rId174"/>
    <pivotCache cacheId="29" r:id="rId175"/>
    <pivotCache cacheId="30" r:id="rId176"/>
    <pivotCache cacheId="32" r:id="rId177"/>
    <pivotCache cacheId="75" r:id="rId178"/>
  </pivotCaches>
  <extLst>
    <ext xmlns:x14="http://schemas.microsoft.com/office/spreadsheetml/2009/9/main" uri="{BBE1A952-AA13-448e-AADC-164F8A28A991}">
      <x14:slicerCaches>
        <x14:slicerCache r:id="rId179"/>
        <x14:slicerCache r:id="rId180"/>
        <x14:slicerCache r:id="rId181"/>
        <x14:slicerCache r:id="rId182"/>
        <x14:slicerCache r:id="rId183"/>
        <x14:slicerCache r:id="rId184"/>
        <x14:slicerCache r:id="rId185"/>
        <x14:slicerCache r:id="rId186"/>
        <x14:slicerCache r:id="rId187"/>
        <x14:slicerCache r:id="rId188"/>
        <x14:slicerCache r:id="rId189"/>
        <x14:slicerCache r:id="rId190"/>
        <x14:slicerCache r:id="rId191"/>
        <x14:slicerCache r:id="rId192"/>
        <x14:slicerCache r:id="rId193"/>
        <x14:slicerCache r:id="rId194"/>
        <x14:slicerCache r:id="rId195"/>
        <x14:slicerCache r:id="rId196"/>
        <x14:slicerCache r:id="rId197"/>
        <x14:slicerCache r:id="rId198"/>
        <x14:slicerCache r:id="rId199"/>
        <x14:slicerCache r:id="rId200"/>
        <x14:slicerCache r:id="rId201"/>
        <x14:slicerCache r:id="rId202"/>
        <x14:slicerCache r:id="rId203"/>
        <x14:slicerCache r:id="rId204"/>
        <x14:slicerCache r:id="rId20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5" i="38" l="1"/>
  <c r="J9" i="12"/>
  <c r="F9" i="12"/>
  <c r="D9" i="12"/>
  <c r="I9" i="12"/>
  <c r="E9" i="12"/>
  <c r="H9" i="12"/>
  <c r="G9" i="12"/>
  <c r="C9" i="12"/>
  <c r="D73" i="7" l="1"/>
  <c r="I13" i="24"/>
  <c r="L18" i="24" l="1"/>
  <c r="L17" i="24"/>
  <c r="L16" i="24"/>
  <c r="K18" i="24"/>
  <c r="K17" i="24"/>
  <c r="K16" i="24"/>
  <c r="M18" i="24"/>
  <c r="M17" i="24"/>
  <c r="M16" i="24"/>
  <c r="J17" i="24"/>
  <c r="J18" i="24"/>
  <c r="B52" i="89"/>
  <c r="C52" i="89"/>
  <c r="D52" i="89"/>
  <c r="E52" i="89"/>
  <c r="F52" i="89"/>
  <c r="B37" i="2"/>
  <c r="C37" i="2"/>
  <c r="D37" i="2"/>
  <c r="E37" i="2"/>
  <c r="E34" i="2"/>
  <c r="B28" i="113"/>
  <c r="E28" i="113"/>
  <c r="D28" i="113"/>
  <c r="C28" i="113"/>
  <c r="F26" i="113"/>
  <c r="K24" i="113"/>
  <c r="J24" i="113"/>
  <c r="I24" i="113"/>
  <c r="H24" i="113"/>
  <c r="G24" i="113"/>
  <c r="E24" i="113"/>
  <c r="D24" i="113"/>
  <c r="C24" i="113"/>
  <c r="B24" i="113"/>
  <c r="K23" i="113"/>
  <c r="J23" i="113"/>
  <c r="I23" i="113"/>
  <c r="H23" i="113"/>
  <c r="G23" i="113"/>
  <c r="E23" i="113"/>
  <c r="D23" i="113"/>
  <c r="C23" i="113"/>
  <c r="B23" i="113"/>
  <c r="K22" i="113"/>
  <c r="J22" i="113"/>
  <c r="I22" i="113"/>
  <c r="H22" i="113"/>
  <c r="G22" i="113"/>
  <c r="E22" i="113"/>
  <c r="D22" i="113"/>
  <c r="C22" i="113"/>
  <c r="B22" i="113"/>
  <c r="K21" i="113"/>
  <c r="J21" i="113"/>
  <c r="I21" i="113"/>
  <c r="H21" i="113"/>
  <c r="G21" i="113"/>
  <c r="E21" i="113"/>
  <c r="D21" i="113"/>
  <c r="C21" i="113"/>
  <c r="B21" i="113"/>
  <c r="K20" i="113"/>
  <c r="J20" i="113"/>
  <c r="I20" i="113"/>
  <c r="H20" i="113"/>
  <c r="G20" i="113"/>
  <c r="E20" i="113"/>
  <c r="D20" i="113"/>
  <c r="C20" i="113"/>
  <c r="B20" i="113"/>
  <c r="K19" i="113"/>
  <c r="J19" i="113"/>
  <c r="I19" i="113"/>
  <c r="H19" i="113"/>
  <c r="G19" i="113"/>
  <c r="E19" i="113"/>
  <c r="D19" i="113"/>
  <c r="C19" i="113"/>
  <c r="B19" i="113"/>
  <c r="K18" i="113"/>
  <c r="J18" i="113"/>
  <c r="I18" i="113"/>
  <c r="H18" i="113"/>
  <c r="G18" i="113"/>
  <c r="E18" i="113"/>
  <c r="D18" i="113"/>
  <c r="C18" i="113"/>
  <c r="B18" i="113"/>
  <c r="K17" i="113"/>
  <c r="J17" i="113"/>
  <c r="I17" i="113"/>
  <c r="H17" i="113"/>
  <c r="G17" i="113"/>
  <c r="E17" i="113"/>
  <c r="D17" i="113"/>
  <c r="C17" i="113"/>
  <c r="B17" i="113"/>
  <c r="K16" i="113"/>
  <c r="J16" i="113"/>
  <c r="I16" i="113"/>
  <c r="H16" i="113"/>
  <c r="G16" i="113"/>
  <c r="E16" i="113"/>
  <c r="D16" i="113"/>
  <c r="C16" i="113"/>
  <c r="B16" i="113"/>
  <c r="K15" i="113"/>
  <c r="J15" i="113"/>
  <c r="I15" i="113"/>
  <c r="H15" i="113"/>
  <c r="G15" i="113"/>
  <c r="E15" i="113"/>
  <c r="D15" i="113"/>
  <c r="C15" i="113"/>
  <c r="B15" i="113"/>
  <c r="K14" i="113"/>
  <c r="J14" i="113"/>
  <c r="I14" i="113"/>
  <c r="H14" i="113"/>
  <c r="G14" i="113"/>
  <c r="E14" i="113"/>
  <c r="D14" i="113"/>
  <c r="C14" i="113"/>
  <c r="B14" i="113"/>
  <c r="K13" i="113"/>
  <c r="J13" i="113"/>
  <c r="I13" i="113"/>
  <c r="H13" i="113"/>
  <c r="G13" i="113"/>
  <c r="E13" i="113"/>
  <c r="D13" i="113"/>
  <c r="C13" i="113"/>
  <c r="B13" i="113"/>
  <c r="K12" i="113"/>
  <c r="J12" i="113"/>
  <c r="I12" i="113"/>
  <c r="H12" i="113"/>
  <c r="G12" i="113"/>
  <c r="E12" i="113"/>
  <c r="D12" i="113"/>
  <c r="C12" i="113"/>
  <c r="B12" i="113"/>
  <c r="K11" i="113"/>
  <c r="J11" i="113"/>
  <c r="I11" i="113"/>
  <c r="H11" i="113"/>
  <c r="G11" i="113"/>
  <c r="E11" i="113"/>
  <c r="D11" i="113"/>
  <c r="C11" i="113"/>
  <c r="B11" i="113"/>
  <c r="K10" i="113"/>
  <c r="J10" i="113"/>
  <c r="I10" i="113"/>
  <c r="H10" i="113"/>
  <c r="G10" i="113"/>
  <c r="E10" i="113"/>
  <c r="D10" i="113"/>
  <c r="C10" i="113"/>
  <c r="B10" i="113"/>
  <c r="K9" i="113"/>
  <c r="J9" i="113"/>
  <c r="I9" i="113"/>
  <c r="H9" i="113"/>
  <c r="G9" i="113"/>
  <c r="E9" i="113"/>
  <c r="D9" i="113"/>
  <c r="C9" i="113"/>
  <c r="B9" i="113"/>
  <c r="F12" i="32"/>
  <c r="H34" i="107"/>
  <c r="G34" i="107"/>
  <c r="F34" i="107"/>
  <c r="E34" i="107"/>
  <c r="D34" i="107"/>
  <c r="C34" i="107"/>
  <c r="B34" i="107"/>
  <c r="A34" i="107"/>
  <c r="H33" i="107"/>
  <c r="G33" i="107"/>
  <c r="F33" i="107"/>
  <c r="E33" i="107"/>
  <c r="D33" i="107"/>
  <c r="C33" i="107"/>
  <c r="B33" i="107"/>
  <c r="A33" i="107"/>
  <c r="H32" i="107"/>
  <c r="G32" i="107"/>
  <c r="F32" i="107"/>
  <c r="E32" i="107"/>
  <c r="D32" i="107"/>
  <c r="C32" i="107"/>
  <c r="B32" i="107"/>
  <c r="A32" i="107"/>
  <c r="H31" i="107"/>
  <c r="G31" i="107"/>
  <c r="F31" i="107"/>
  <c r="E31" i="107"/>
  <c r="D31" i="107"/>
  <c r="C31" i="107"/>
  <c r="B31" i="107"/>
  <c r="A31" i="107"/>
  <c r="H30" i="107"/>
  <c r="G30" i="107"/>
  <c r="F30" i="107"/>
  <c r="E30" i="107"/>
  <c r="D30" i="107"/>
  <c r="C30" i="107"/>
  <c r="B30" i="107"/>
  <c r="A30" i="107"/>
  <c r="H15" i="107"/>
  <c r="G15" i="107"/>
  <c r="F15" i="107"/>
  <c r="E15" i="107"/>
  <c r="D15" i="107"/>
  <c r="C15" i="107"/>
  <c r="B15" i="107"/>
  <c r="A15" i="107"/>
  <c r="H14" i="107"/>
  <c r="G14" i="107"/>
  <c r="F14" i="107"/>
  <c r="E14" i="107"/>
  <c r="D14" i="107"/>
  <c r="C14" i="107"/>
  <c r="B14" i="107"/>
  <c r="A14" i="107"/>
  <c r="H13" i="107"/>
  <c r="G13" i="107"/>
  <c r="F13" i="107"/>
  <c r="E13" i="107"/>
  <c r="D13" i="107"/>
  <c r="C13" i="107"/>
  <c r="B13" i="107"/>
  <c r="A13" i="107"/>
  <c r="H12" i="107"/>
  <c r="G12" i="107"/>
  <c r="F12" i="107"/>
  <c r="E12" i="107"/>
  <c r="D12" i="107"/>
  <c r="C12" i="107"/>
  <c r="B12" i="107"/>
  <c r="A12" i="107"/>
  <c r="H11" i="107"/>
  <c r="G11" i="107"/>
  <c r="F11" i="107"/>
  <c r="E11" i="107"/>
  <c r="D11" i="107"/>
  <c r="C11" i="107"/>
  <c r="B11" i="107"/>
  <c r="A11" i="107"/>
  <c r="B32" i="82"/>
  <c r="C32" i="82"/>
  <c r="D32" i="82"/>
  <c r="E32" i="82"/>
  <c r="F32" i="82"/>
  <c r="G32" i="82"/>
  <c r="B33" i="82"/>
  <c r="C33" i="82"/>
  <c r="D33" i="82"/>
  <c r="E33" i="82"/>
  <c r="F33" i="82"/>
  <c r="G33" i="82"/>
  <c r="B34" i="82"/>
  <c r="C34" i="82"/>
  <c r="D34" i="82"/>
  <c r="E34" i="82"/>
  <c r="F34" i="82"/>
  <c r="G34" i="82"/>
  <c r="B35" i="82"/>
  <c r="C35" i="82"/>
  <c r="D35" i="82"/>
  <c r="E35" i="82"/>
  <c r="F35" i="82"/>
  <c r="G35" i="82"/>
  <c r="G31" i="82"/>
  <c r="F31" i="82"/>
  <c r="E31" i="82"/>
  <c r="D31" i="82"/>
  <c r="C31" i="82"/>
  <c r="B31" i="82"/>
  <c r="C32" i="81"/>
  <c r="H36" i="81"/>
  <c r="H35" i="81"/>
  <c r="H34" i="81"/>
  <c r="H33" i="81"/>
  <c r="H32" i="81"/>
  <c r="H31" i="81"/>
  <c r="G36" i="81"/>
  <c r="G35" i="81"/>
  <c r="G34" i="81"/>
  <c r="G33" i="81"/>
  <c r="G32" i="81"/>
  <c r="G31" i="81"/>
  <c r="F36" i="81"/>
  <c r="F35" i="81"/>
  <c r="F34" i="81"/>
  <c r="F33" i="81"/>
  <c r="F32" i="81"/>
  <c r="F31" i="81"/>
  <c r="E36" i="81"/>
  <c r="E35" i="81"/>
  <c r="E34" i="81"/>
  <c r="E33" i="81"/>
  <c r="E32" i="81"/>
  <c r="E31" i="81"/>
  <c r="D36" i="81"/>
  <c r="D35" i="81"/>
  <c r="D34" i="81"/>
  <c r="D33" i="81"/>
  <c r="D32" i="81"/>
  <c r="D31" i="81"/>
  <c r="C36" i="81"/>
  <c r="C35" i="81"/>
  <c r="C34" i="81"/>
  <c r="C33" i="81"/>
  <c r="C31" i="81"/>
  <c r="B36" i="81"/>
  <c r="B35" i="81"/>
  <c r="B34" i="81"/>
  <c r="B33" i="81"/>
  <c r="B32" i="81"/>
  <c r="B31" i="81"/>
  <c r="N17" i="24"/>
  <c r="N18" i="24"/>
  <c r="N16" i="24"/>
  <c r="B26" i="113" l="1"/>
  <c r="F37" i="2"/>
  <c r="G52" i="89"/>
  <c r="G26" i="113"/>
  <c r="I28" i="113"/>
  <c r="K26" i="113"/>
  <c r="J28" i="113"/>
  <c r="J26" i="113"/>
  <c r="G28" i="113"/>
  <c r="K28" i="113"/>
  <c r="D26" i="113"/>
  <c r="I26" i="113"/>
  <c r="E26" i="113"/>
  <c r="H28" i="113"/>
  <c r="C26" i="113"/>
  <c r="H26" i="113"/>
  <c r="C36" i="106"/>
  <c r="C35" i="106"/>
  <c r="C34" i="106"/>
  <c r="C33" i="106"/>
  <c r="D35" i="106"/>
  <c r="D36" i="106"/>
  <c r="B36" i="106"/>
  <c r="B35" i="106"/>
  <c r="B34" i="106"/>
  <c r="B33" i="106"/>
  <c r="B32" i="106"/>
  <c r="B31" i="106"/>
  <c r="A17" i="106"/>
  <c r="A16" i="106"/>
  <c r="A15" i="106"/>
  <c r="A14" i="106"/>
  <c r="A13" i="106"/>
  <c r="A12" i="106"/>
  <c r="D17" i="106"/>
  <c r="D16" i="106"/>
  <c r="C17" i="106"/>
  <c r="C16" i="106"/>
  <c r="C15" i="106"/>
  <c r="C14" i="106"/>
  <c r="B17" i="106"/>
  <c r="B16" i="106"/>
  <c r="B15" i="106"/>
  <c r="B14" i="106"/>
  <c r="B12" i="106"/>
  <c r="B13" i="106"/>
  <c r="E17" i="105"/>
  <c r="E16" i="105"/>
  <c r="E15" i="105"/>
  <c r="A31" i="105"/>
  <c r="B31" i="105"/>
  <c r="A32" i="105"/>
  <c r="B32" i="105"/>
  <c r="A33" i="105"/>
  <c r="B33" i="105"/>
  <c r="C33" i="105"/>
  <c r="A34" i="105"/>
  <c r="B34" i="105"/>
  <c r="C34" i="105"/>
  <c r="A35" i="105"/>
  <c r="B35" i="105"/>
  <c r="C35" i="105"/>
  <c r="D35" i="105"/>
  <c r="A36" i="105"/>
  <c r="B36" i="105"/>
  <c r="C36" i="105"/>
  <c r="D36" i="105"/>
  <c r="A12" i="105"/>
  <c r="B12" i="105"/>
  <c r="A13" i="105"/>
  <c r="B13" i="105"/>
  <c r="A14" i="105"/>
  <c r="B14" i="105"/>
  <c r="C14" i="105"/>
  <c r="A15" i="105"/>
  <c r="B15" i="105"/>
  <c r="C15" i="105"/>
  <c r="A16" i="105"/>
  <c r="B16" i="105"/>
  <c r="C16" i="105"/>
  <c r="D16" i="105"/>
  <c r="A17" i="105"/>
  <c r="B17" i="105"/>
  <c r="C17" i="105"/>
  <c r="D17" i="105"/>
  <c r="B6" i="92"/>
  <c r="C6" i="92"/>
  <c r="B7" i="92"/>
  <c r="C7" i="92"/>
  <c r="B8" i="92"/>
  <c r="C8" i="92"/>
  <c r="B9" i="92"/>
  <c r="C9" i="92"/>
  <c r="D11" i="101"/>
  <c r="C11" i="101"/>
  <c r="E11" i="101"/>
  <c r="F16" i="105" l="1"/>
  <c r="F15" i="105"/>
  <c r="F17" i="105"/>
  <c r="F11" i="101"/>
  <c r="I11" i="101" s="1"/>
  <c r="D12" i="101"/>
  <c r="C12" i="101"/>
  <c r="E12" i="101"/>
  <c r="H11" i="101" l="1"/>
  <c r="G11" i="101"/>
  <c r="F12" i="101"/>
  <c r="I12" i="101" s="1"/>
  <c r="C13" i="101"/>
  <c r="E13" i="101"/>
  <c r="D13" i="101"/>
  <c r="H12" i="101" l="1"/>
  <c r="G12" i="101"/>
  <c r="F13" i="101"/>
  <c r="H13" i="101" s="1"/>
  <c r="C14" i="101"/>
  <c r="D14" i="101"/>
  <c r="E14" i="101"/>
  <c r="G13" i="101" l="1"/>
  <c r="I13" i="101"/>
  <c r="F14" i="101"/>
  <c r="I14" i="101" s="1"/>
  <c r="D15" i="101"/>
  <c r="E15" i="101"/>
  <c r="C15" i="101"/>
  <c r="H14" i="101" l="1"/>
  <c r="G14" i="101"/>
  <c r="F15" i="101"/>
  <c r="I15" i="101" s="1"/>
  <c r="D16" i="101"/>
  <c r="E16" i="101"/>
  <c r="C16" i="101"/>
  <c r="H15" i="101" l="1"/>
  <c r="G15" i="101"/>
  <c r="F16" i="101"/>
  <c r="G16" i="101" s="1"/>
  <c r="E17" i="101"/>
  <c r="C17" i="101"/>
  <c r="D17" i="101"/>
  <c r="H16" i="101" l="1"/>
  <c r="I16" i="101"/>
  <c r="F17" i="101"/>
  <c r="G17" i="101" s="1"/>
  <c r="E18" i="101"/>
  <c r="D18" i="101"/>
  <c r="C18" i="101"/>
  <c r="I17" i="101" l="1"/>
  <c r="H17" i="101"/>
  <c r="F18" i="101"/>
  <c r="G18" i="101" s="1"/>
  <c r="C19" i="101"/>
  <c r="E19" i="101"/>
  <c r="D19" i="101"/>
  <c r="I18" i="101" l="1"/>
  <c r="H18" i="101"/>
  <c r="F19" i="101"/>
  <c r="G19" i="101" s="1"/>
  <c r="C20" i="101"/>
  <c r="D20" i="101"/>
  <c r="E20" i="101"/>
  <c r="H19" i="101" l="1"/>
  <c r="I19" i="101"/>
  <c r="F20" i="101"/>
  <c r="G20" i="101" s="1"/>
  <c r="E21" i="101"/>
  <c r="D21" i="101"/>
  <c r="C21" i="101"/>
  <c r="I20" i="101" l="1"/>
  <c r="H20" i="101"/>
  <c r="F21" i="101"/>
  <c r="G21" i="101" s="1"/>
  <c r="C22" i="101"/>
  <c r="D22" i="101"/>
  <c r="E22" i="101"/>
  <c r="I21" i="101" l="1"/>
  <c r="H21" i="101"/>
  <c r="F22" i="101"/>
  <c r="G22" i="101" s="1"/>
  <c r="D23" i="101"/>
  <c r="E23" i="101"/>
  <c r="C23" i="101"/>
  <c r="I22" i="101" l="1"/>
  <c r="H22" i="101"/>
  <c r="F23" i="101"/>
  <c r="G23" i="101" s="1"/>
  <c r="E24" i="101"/>
  <c r="C24" i="101"/>
  <c r="D24" i="101"/>
  <c r="I23" i="101" l="1"/>
  <c r="H23" i="101"/>
  <c r="F24" i="101"/>
  <c r="G24" i="101" s="1"/>
  <c r="C25" i="101"/>
  <c r="D25" i="101"/>
  <c r="E25" i="101"/>
  <c r="I24" i="101" l="1"/>
  <c r="H24" i="101"/>
  <c r="F25" i="101"/>
  <c r="G25" i="101" s="1"/>
  <c r="C26" i="101"/>
  <c r="E26" i="101"/>
  <c r="D26" i="101"/>
  <c r="H25" i="101" l="1"/>
  <c r="I25" i="101"/>
  <c r="F26" i="101"/>
  <c r="G26" i="101" s="1"/>
  <c r="D27" i="101"/>
  <c r="C27" i="101"/>
  <c r="E27" i="101"/>
  <c r="H26" i="101" l="1"/>
  <c r="I26" i="101"/>
  <c r="F27" i="101"/>
  <c r="G27" i="101" s="1"/>
  <c r="E28" i="101"/>
  <c r="C28" i="101"/>
  <c r="D28" i="101"/>
  <c r="I27" i="101" l="1"/>
  <c r="H27" i="101"/>
  <c r="F28" i="101"/>
  <c r="G28" i="101" s="1"/>
  <c r="D29" i="101"/>
  <c r="C29" i="101"/>
  <c r="E29" i="101"/>
  <c r="H28" i="101" l="1"/>
  <c r="I28" i="101"/>
  <c r="F29" i="101"/>
  <c r="H29" i="101" s="1"/>
  <c r="C30" i="101"/>
  <c r="D30" i="101"/>
  <c r="E30" i="101"/>
  <c r="G29" i="101" l="1"/>
  <c r="I29" i="101"/>
  <c r="F30" i="101"/>
  <c r="I30" i="101" s="1"/>
  <c r="E31" i="101"/>
  <c r="C31" i="101"/>
  <c r="D31" i="101"/>
  <c r="G30" i="101" l="1"/>
  <c r="H30" i="101"/>
  <c r="F31" i="101"/>
  <c r="G31" i="101" s="1"/>
  <c r="E32" i="101"/>
  <c r="D32" i="101"/>
  <c r="C32" i="101"/>
  <c r="I31" i="101" l="1"/>
  <c r="H31" i="101"/>
  <c r="F32" i="101"/>
  <c r="G32" i="101" s="1"/>
  <c r="C33" i="101"/>
  <c r="D33" i="101"/>
  <c r="E33" i="101"/>
  <c r="I32" i="101" l="1"/>
  <c r="H32" i="101"/>
  <c r="F33" i="101"/>
  <c r="G33" i="101" s="1"/>
  <c r="E34" i="101"/>
  <c r="D34" i="101"/>
  <c r="C34" i="101"/>
  <c r="I33" i="101" l="1"/>
  <c r="H33" i="101"/>
  <c r="F34" i="101"/>
  <c r="H34" i="101" s="1"/>
  <c r="C35" i="101"/>
  <c r="E35" i="101"/>
  <c r="D35" i="101"/>
  <c r="G34" i="101" l="1"/>
  <c r="I34" i="101"/>
  <c r="F35" i="101"/>
  <c r="H35" i="101" s="1"/>
  <c r="C36" i="101"/>
  <c r="D36" i="101"/>
  <c r="E36" i="101"/>
  <c r="G35" i="101" l="1"/>
  <c r="I35" i="101"/>
  <c r="F36" i="101"/>
  <c r="H36" i="101" s="1"/>
  <c r="D37" i="101"/>
  <c r="C37" i="101"/>
  <c r="E37" i="101"/>
  <c r="G36" i="101" l="1"/>
  <c r="I36" i="101"/>
  <c r="F37" i="101"/>
  <c r="H37" i="101" s="1"/>
  <c r="D38" i="101"/>
  <c r="C38" i="101"/>
  <c r="E38" i="101"/>
  <c r="G37" i="101" l="1"/>
  <c r="I37" i="101"/>
  <c r="F38" i="101"/>
  <c r="H38" i="101" s="1"/>
  <c r="D39" i="101"/>
  <c r="E39" i="101"/>
  <c r="C39" i="101"/>
  <c r="G38" i="101" l="1"/>
  <c r="I38" i="101"/>
  <c r="F39" i="101"/>
  <c r="H39" i="101" s="1"/>
  <c r="C40" i="101"/>
  <c r="D40" i="101"/>
  <c r="E40" i="101"/>
  <c r="G39" i="101" l="1"/>
  <c r="I39" i="101"/>
  <c r="F40" i="101"/>
  <c r="H40" i="101" s="1"/>
  <c r="C41" i="101"/>
  <c r="E41" i="101"/>
  <c r="D41" i="101"/>
  <c r="G40" i="101" l="1"/>
  <c r="I40" i="101"/>
  <c r="F41" i="101"/>
  <c r="H41" i="101" s="1"/>
  <c r="E42" i="101"/>
  <c r="C42" i="101"/>
  <c r="D42" i="101"/>
  <c r="G41" i="101" l="1"/>
  <c r="I41" i="101"/>
  <c r="F42" i="101"/>
  <c r="H42" i="101" s="1"/>
  <c r="C43" i="101"/>
  <c r="D43" i="101"/>
  <c r="E43" i="101"/>
  <c r="G13" i="100"/>
  <c r="F13" i="100"/>
  <c r="E13" i="100"/>
  <c r="D13" i="100"/>
  <c r="C13" i="100"/>
  <c r="B13" i="100"/>
  <c r="A13" i="100"/>
  <c r="G12" i="100"/>
  <c r="F12" i="100"/>
  <c r="E12" i="100"/>
  <c r="D12" i="100"/>
  <c r="C12" i="100"/>
  <c r="B12" i="100"/>
  <c r="G11" i="100"/>
  <c r="F11" i="100"/>
  <c r="E11" i="100"/>
  <c r="D11" i="100"/>
  <c r="C11" i="100"/>
  <c r="B11" i="100"/>
  <c r="F10" i="100"/>
  <c r="E10" i="100"/>
  <c r="D10" i="100"/>
  <c r="C10" i="100"/>
  <c r="B10" i="100"/>
  <c r="G11" i="96"/>
  <c r="G34" i="76"/>
  <c r="A32" i="19"/>
  <c r="F20" i="19"/>
  <c r="E20" i="19"/>
  <c r="D20" i="19"/>
  <c r="C20" i="19"/>
  <c r="B20" i="19"/>
  <c r="A20" i="19"/>
  <c r="A43" i="19" s="1"/>
  <c r="F19" i="19"/>
  <c r="E19" i="19"/>
  <c r="D19" i="19"/>
  <c r="C19" i="19"/>
  <c r="B19" i="19"/>
  <c r="A19" i="19"/>
  <c r="A42" i="19" s="1"/>
  <c r="A18" i="19"/>
  <c r="A41" i="19" s="1"/>
  <c r="A17" i="19"/>
  <c r="D18" i="19" s="1"/>
  <c r="F16" i="19"/>
  <c r="E16" i="19"/>
  <c r="D16" i="19"/>
  <c r="C16" i="19"/>
  <c r="B16" i="19"/>
  <c r="A16" i="19"/>
  <c r="A39" i="19" s="1"/>
  <c r="F15" i="19"/>
  <c r="E15" i="19"/>
  <c r="D15" i="19"/>
  <c r="C15" i="19"/>
  <c r="B15" i="19"/>
  <c r="A15" i="19"/>
  <c r="A38" i="19" s="1"/>
  <c r="F14" i="19"/>
  <c r="E14" i="19"/>
  <c r="D14" i="19"/>
  <c r="C14" i="19"/>
  <c r="B14" i="19"/>
  <c r="A14" i="19"/>
  <c r="A37" i="19" s="1"/>
  <c r="F13" i="19"/>
  <c r="E13" i="19"/>
  <c r="D13" i="19"/>
  <c r="C13" i="19"/>
  <c r="B13" i="19"/>
  <c r="A13" i="19"/>
  <c r="A36" i="19" s="1"/>
  <c r="F12" i="19"/>
  <c r="E12" i="19"/>
  <c r="D12" i="19"/>
  <c r="C12" i="19"/>
  <c r="B12" i="19"/>
  <c r="A12" i="19"/>
  <c r="A35" i="19" s="1"/>
  <c r="F11" i="19"/>
  <c r="E11" i="19"/>
  <c r="D11" i="19"/>
  <c r="C11" i="19"/>
  <c r="B11" i="19"/>
  <c r="A11" i="19"/>
  <c r="A34" i="19" s="1"/>
  <c r="F10" i="19"/>
  <c r="E10" i="19"/>
  <c r="D10" i="19"/>
  <c r="C10" i="19"/>
  <c r="B10" i="19"/>
  <c r="A10" i="19"/>
  <c r="A33" i="19" s="1"/>
  <c r="F9" i="19"/>
  <c r="E9" i="19"/>
  <c r="D9" i="19"/>
  <c r="C9" i="19"/>
  <c r="B9" i="19"/>
  <c r="F43" i="101" l="1"/>
  <c r="G43" i="101" s="1"/>
  <c r="G42" i="101"/>
  <c r="I42" i="101"/>
  <c r="A40" i="19"/>
  <c r="G10" i="19"/>
  <c r="G12" i="19"/>
  <c r="G14" i="19"/>
  <c r="G16" i="19"/>
  <c r="G19" i="19"/>
  <c r="H19" i="19" s="1"/>
  <c r="G9" i="19"/>
  <c r="G11" i="19"/>
  <c r="G13" i="19"/>
  <c r="G15" i="19"/>
  <c r="G20" i="19"/>
  <c r="H20" i="19" s="1"/>
  <c r="E17" i="19"/>
  <c r="E18" i="19"/>
  <c r="B17" i="19"/>
  <c r="F17" i="19"/>
  <c r="B18" i="19"/>
  <c r="F18" i="19"/>
  <c r="C17" i="19"/>
  <c r="C18" i="19"/>
  <c r="D17" i="19"/>
  <c r="F37" i="61"/>
  <c r="I14" i="94"/>
  <c r="I16" i="94"/>
  <c r="I43" i="101" l="1"/>
  <c r="H43" i="101"/>
  <c r="H15" i="19"/>
  <c r="H10" i="19"/>
  <c r="H16" i="19"/>
  <c r="H11" i="19"/>
  <c r="H14" i="19"/>
  <c r="H13" i="19"/>
  <c r="H9" i="19"/>
  <c r="H12" i="19"/>
  <c r="G17" i="19"/>
  <c r="G18" i="19"/>
  <c r="I15" i="94"/>
  <c r="G21" i="96"/>
  <c r="E21" i="96"/>
  <c r="F21" i="96"/>
  <c r="D21" i="96"/>
  <c r="C21" i="96"/>
  <c r="B21" i="96"/>
  <c r="A21" i="96"/>
  <c r="G20" i="96"/>
  <c r="E20" i="96"/>
  <c r="F20" i="96"/>
  <c r="D20" i="96"/>
  <c r="C20" i="96"/>
  <c r="B20" i="96"/>
  <c r="A20" i="96"/>
  <c r="G19" i="96"/>
  <c r="E19" i="96"/>
  <c r="F19" i="96"/>
  <c r="D19" i="96"/>
  <c r="C19" i="96"/>
  <c r="B19" i="96"/>
  <c r="A19" i="96"/>
  <c r="G18" i="96"/>
  <c r="E18" i="96"/>
  <c r="F18" i="96"/>
  <c r="D18" i="96"/>
  <c r="C18" i="96"/>
  <c r="B18" i="96"/>
  <c r="A18" i="96"/>
  <c r="G17" i="96"/>
  <c r="E17" i="96"/>
  <c r="F17" i="96"/>
  <c r="D17" i="96"/>
  <c r="C17" i="96"/>
  <c r="B17" i="96"/>
  <c r="A17" i="96"/>
  <c r="G16" i="96"/>
  <c r="E16" i="96"/>
  <c r="F16" i="96"/>
  <c r="D16" i="96"/>
  <c r="C16" i="96"/>
  <c r="B16" i="96"/>
  <c r="A16" i="96"/>
  <c r="G15" i="96"/>
  <c r="E15" i="96"/>
  <c r="F15" i="96"/>
  <c r="D15" i="96"/>
  <c r="C15" i="96"/>
  <c r="B15" i="96"/>
  <c r="A15" i="96"/>
  <c r="G14" i="96"/>
  <c r="E14" i="96"/>
  <c r="F14" i="96"/>
  <c r="D14" i="96"/>
  <c r="C14" i="96"/>
  <c r="B14" i="96"/>
  <c r="A14" i="96"/>
  <c r="G13" i="96"/>
  <c r="E13" i="96"/>
  <c r="F13" i="96"/>
  <c r="D13" i="96"/>
  <c r="C13" i="96"/>
  <c r="B13" i="96"/>
  <c r="A13" i="96"/>
  <c r="G12" i="96"/>
  <c r="E12" i="96"/>
  <c r="F12" i="96"/>
  <c r="D12" i="96"/>
  <c r="C12" i="96"/>
  <c r="B12" i="96"/>
  <c r="A12" i="96"/>
  <c r="E11" i="96"/>
  <c r="F11" i="96"/>
  <c r="D11" i="96"/>
  <c r="C11" i="96"/>
  <c r="B11" i="96"/>
  <c r="A11" i="96"/>
  <c r="D10" i="38"/>
  <c r="G13" i="93"/>
  <c r="E13" i="93"/>
  <c r="C13" i="93"/>
  <c r="D13" i="93"/>
  <c r="H13" i="93"/>
  <c r="B13" i="93"/>
  <c r="F13" i="93"/>
  <c r="H15" i="8"/>
  <c r="I12" i="8"/>
  <c r="H14" i="8"/>
  <c r="H18" i="19" l="1"/>
  <c r="H17" i="19"/>
  <c r="G22" i="96"/>
  <c r="D22" i="96"/>
  <c r="F22" i="96"/>
  <c r="B22" i="96"/>
  <c r="E22" i="96"/>
  <c r="C22" i="96"/>
  <c r="I13" i="93"/>
  <c r="F12" i="93"/>
  <c r="G12" i="93"/>
  <c r="C12" i="93"/>
  <c r="H12" i="93"/>
  <c r="B12" i="93"/>
  <c r="D12" i="93"/>
  <c r="E12" i="93"/>
  <c r="I12" i="93" l="1"/>
  <c r="C11" i="93"/>
  <c r="G11" i="93"/>
  <c r="F11" i="93"/>
  <c r="E11" i="93"/>
  <c r="B11" i="93"/>
  <c r="D11" i="93"/>
  <c r="H11" i="93"/>
  <c r="I11" i="93" l="1"/>
  <c r="B16" i="94"/>
  <c r="B10" i="93"/>
  <c r="F10" i="93"/>
  <c r="E16" i="94"/>
  <c r="D10" i="93"/>
  <c r="E10" i="93"/>
  <c r="D16" i="94"/>
  <c r="G10" i="93"/>
  <c r="H16" i="94"/>
  <c r="C16" i="94"/>
  <c r="F16" i="94"/>
  <c r="C10" i="93"/>
  <c r="G16" i="94"/>
  <c r="H10" i="93"/>
  <c r="B17" i="94" l="1"/>
  <c r="H17" i="94"/>
  <c r="B14" i="93"/>
  <c r="I10" i="93"/>
  <c r="C14" i="93"/>
  <c r="D14" i="93"/>
  <c r="E14" i="93"/>
  <c r="F14" i="93"/>
  <c r="G14" i="93"/>
  <c r="H14" i="93"/>
  <c r="I17" i="94"/>
  <c r="C17" i="94"/>
  <c r="D17" i="94"/>
  <c r="E17" i="94"/>
  <c r="F17" i="94"/>
  <c r="G17" i="94"/>
  <c r="E14" i="94"/>
  <c r="G14" i="94"/>
  <c r="C14" i="94"/>
  <c r="F14" i="94"/>
  <c r="B14" i="94"/>
  <c r="H14" i="94"/>
  <c r="D14" i="94"/>
  <c r="G15" i="94" l="1"/>
  <c r="D15" i="94"/>
  <c r="H15" i="94"/>
  <c r="E15" i="94"/>
  <c r="B15" i="94"/>
  <c r="F15" i="94"/>
  <c r="C15" i="94"/>
  <c r="I14" i="93"/>
  <c r="J10" i="93" s="1"/>
  <c r="H12" i="94"/>
  <c r="E12" i="94"/>
  <c r="B12" i="94"/>
  <c r="I12" i="94"/>
  <c r="D12" i="94"/>
  <c r="F12" i="94"/>
  <c r="G12" i="94"/>
  <c r="C12" i="94"/>
  <c r="H13" i="94" l="1"/>
  <c r="B13" i="94"/>
  <c r="J14" i="93"/>
  <c r="J13" i="93"/>
  <c r="J12" i="93"/>
  <c r="J11" i="93"/>
  <c r="I13" i="94"/>
  <c r="C13" i="94"/>
  <c r="D13" i="94"/>
  <c r="E13" i="94"/>
  <c r="F13" i="94"/>
  <c r="G13" i="94"/>
  <c r="D10" i="94"/>
  <c r="H10" i="94"/>
  <c r="G10" i="94"/>
  <c r="I10" i="94"/>
  <c r="B10" i="94"/>
  <c r="C10" i="94"/>
  <c r="E10" i="94"/>
  <c r="F10" i="94"/>
  <c r="H11" i="94" l="1"/>
  <c r="B11" i="94"/>
  <c r="C11" i="94"/>
  <c r="D11" i="94"/>
  <c r="E11" i="94"/>
  <c r="F11" i="94"/>
  <c r="G11" i="94"/>
  <c r="I11" i="94" l="1"/>
  <c r="F46" i="61"/>
  <c r="E15" i="11"/>
  <c r="C12" i="11"/>
  <c r="K17" i="35" l="1"/>
  <c r="K18" i="35"/>
  <c r="K19" i="35"/>
  <c r="K20" i="35"/>
  <c r="H17" i="35"/>
  <c r="H18" i="35"/>
  <c r="H19" i="35"/>
  <c r="H20" i="35"/>
  <c r="F67" i="28"/>
  <c r="F13" i="28"/>
  <c r="G13" i="28"/>
  <c r="F14" i="28"/>
  <c r="G14" i="28"/>
  <c r="F15" i="28"/>
  <c r="G15" i="28"/>
  <c r="F16" i="28"/>
  <c r="G16" i="28"/>
  <c r="F17" i="28"/>
  <c r="G17" i="28"/>
  <c r="F18" i="28"/>
  <c r="G18" i="28"/>
  <c r="E11" i="28"/>
  <c r="E12" i="28"/>
  <c r="E13" i="28"/>
  <c r="E14" i="28"/>
  <c r="E15" i="28"/>
  <c r="E16" i="28"/>
  <c r="E17" i="28"/>
  <c r="E18" i="28"/>
  <c r="C10" i="92"/>
  <c r="B10" i="92"/>
  <c r="F25" i="28" l="1"/>
  <c r="F26" i="28" s="1"/>
  <c r="G25" i="28"/>
  <c r="G26" i="28" s="1"/>
  <c r="E21" i="28"/>
  <c r="E22" i="28" s="1"/>
  <c r="E25" i="28"/>
  <c r="E26" i="28" s="1"/>
  <c r="F21" i="28"/>
  <c r="F22" i="28" s="1"/>
  <c r="G21" i="28"/>
  <c r="G22" i="28" s="1"/>
  <c r="C28" i="26" l="1"/>
  <c r="C29" i="26"/>
  <c r="C30" i="26"/>
  <c r="E28" i="26"/>
  <c r="E29" i="26"/>
  <c r="E30" i="26"/>
  <c r="G28" i="26"/>
  <c r="G29" i="26"/>
  <c r="G30" i="26"/>
  <c r="I28" i="26"/>
  <c r="I29" i="26"/>
  <c r="I30" i="26"/>
  <c r="I31" i="26"/>
  <c r="G31" i="26"/>
  <c r="E31" i="26"/>
  <c r="C31" i="26"/>
  <c r="I12" i="26"/>
  <c r="I13" i="26"/>
  <c r="I14" i="26"/>
  <c r="G12" i="26"/>
  <c r="G13" i="26"/>
  <c r="G14" i="26"/>
  <c r="E12" i="26"/>
  <c r="E13" i="26"/>
  <c r="E14" i="26"/>
  <c r="C12" i="26"/>
  <c r="C13" i="26"/>
  <c r="C14" i="26"/>
  <c r="I15" i="26"/>
  <c r="G15" i="26"/>
  <c r="E15" i="26"/>
  <c r="C15" i="26"/>
  <c r="C11" i="25" l="1"/>
  <c r="D11" i="25"/>
  <c r="E11" i="25"/>
  <c r="F11" i="25"/>
  <c r="G11" i="25"/>
  <c r="H11" i="25"/>
  <c r="I11" i="25"/>
  <c r="C12" i="25"/>
  <c r="D12" i="25"/>
  <c r="E12" i="25"/>
  <c r="F12" i="25"/>
  <c r="G12" i="25"/>
  <c r="H12" i="25"/>
  <c r="I12" i="25"/>
  <c r="C13" i="25"/>
  <c r="D13" i="25"/>
  <c r="E13" i="25"/>
  <c r="F13" i="25"/>
  <c r="G13" i="25"/>
  <c r="H13" i="25"/>
  <c r="I13" i="25"/>
  <c r="C14" i="25"/>
  <c r="D14" i="25"/>
  <c r="E14" i="25"/>
  <c r="F14" i="25"/>
  <c r="G14" i="25"/>
  <c r="H14" i="25"/>
  <c r="I14" i="25"/>
  <c r="C15" i="25"/>
  <c r="D15" i="25"/>
  <c r="E15" i="25"/>
  <c r="F15" i="25"/>
  <c r="G15" i="25"/>
  <c r="H15" i="25"/>
  <c r="I15" i="25"/>
  <c r="C16" i="25"/>
  <c r="D16" i="25"/>
  <c r="E16" i="25"/>
  <c r="F16" i="25"/>
  <c r="G16" i="25"/>
  <c r="H16" i="25"/>
  <c r="I16" i="25"/>
  <c r="C17" i="25"/>
  <c r="D17" i="25"/>
  <c r="E17" i="25"/>
  <c r="F17" i="25"/>
  <c r="G17" i="25"/>
  <c r="H17" i="25"/>
  <c r="I17" i="25"/>
  <c r="C18" i="25"/>
  <c r="D18" i="25"/>
  <c r="E18" i="25"/>
  <c r="F18" i="25"/>
  <c r="G18" i="25"/>
  <c r="H18" i="25"/>
  <c r="I18" i="25"/>
  <c r="C19" i="25"/>
  <c r="D19" i="25"/>
  <c r="E19" i="25"/>
  <c r="F19" i="25"/>
  <c r="G19" i="25"/>
  <c r="H19" i="25"/>
  <c r="I19" i="25"/>
  <c r="C20" i="25"/>
  <c r="D20" i="25"/>
  <c r="E20" i="25"/>
  <c r="F20" i="25"/>
  <c r="G20" i="25"/>
  <c r="H20" i="25"/>
  <c r="I20" i="25"/>
  <c r="C21" i="25"/>
  <c r="D21" i="25"/>
  <c r="E21" i="25"/>
  <c r="F21" i="25"/>
  <c r="G21" i="25"/>
  <c r="H21" i="25"/>
  <c r="I21" i="25"/>
  <c r="C22" i="25"/>
  <c r="D22" i="25"/>
  <c r="E22" i="25"/>
  <c r="F22" i="25"/>
  <c r="G22" i="25"/>
  <c r="H22" i="25"/>
  <c r="I22" i="25"/>
  <c r="C23" i="25"/>
  <c r="D23" i="25"/>
  <c r="E23" i="25"/>
  <c r="F23" i="25"/>
  <c r="G23" i="25"/>
  <c r="H23" i="25"/>
  <c r="I23" i="25"/>
  <c r="C24" i="25"/>
  <c r="D24" i="25"/>
  <c r="E24" i="25"/>
  <c r="F24" i="25"/>
  <c r="G24" i="25"/>
  <c r="H24" i="25"/>
  <c r="I24" i="25"/>
  <c r="C25" i="25"/>
  <c r="D25" i="25"/>
  <c r="E25" i="25"/>
  <c r="F25" i="25"/>
  <c r="G25" i="25"/>
  <c r="H25" i="25"/>
  <c r="I25" i="25"/>
  <c r="C26" i="25"/>
  <c r="D26" i="25"/>
  <c r="E26" i="25"/>
  <c r="F26" i="25"/>
  <c r="G26" i="25"/>
  <c r="H26" i="25"/>
  <c r="I26" i="25"/>
  <c r="C27" i="25"/>
  <c r="D27" i="25"/>
  <c r="E27" i="25"/>
  <c r="F27" i="25"/>
  <c r="G27" i="25"/>
  <c r="H27" i="25"/>
  <c r="I27" i="25"/>
  <c r="C28" i="25"/>
  <c r="D28" i="25"/>
  <c r="E28" i="25"/>
  <c r="F28" i="25"/>
  <c r="G28" i="25"/>
  <c r="H28" i="25"/>
  <c r="I28" i="25"/>
  <c r="C29" i="25"/>
  <c r="D29" i="25"/>
  <c r="E29" i="25"/>
  <c r="F29" i="25"/>
  <c r="G29" i="25"/>
  <c r="H29" i="25"/>
  <c r="I29" i="25"/>
  <c r="C30" i="25"/>
  <c r="D30" i="25"/>
  <c r="E30" i="25"/>
  <c r="F30" i="25"/>
  <c r="G30" i="25"/>
  <c r="H30" i="25"/>
  <c r="I30" i="25"/>
  <c r="C31" i="25"/>
  <c r="D31" i="25"/>
  <c r="E31" i="25"/>
  <c r="F31" i="25"/>
  <c r="G31" i="25"/>
  <c r="H31" i="25"/>
  <c r="I31" i="25"/>
  <c r="C32" i="25"/>
  <c r="D32" i="25"/>
  <c r="E32" i="25"/>
  <c r="F32" i="25"/>
  <c r="G32" i="25"/>
  <c r="H32" i="25"/>
  <c r="I32" i="25"/>
  <c r="C33" i="25"/>
  <c r="D33" i="25"/>
  <c r="E33" i="25"/>
  <c r="F33" i="25"/>
  <c r="G33" i="25"/>
  <c r="H33" i="25"/>
  <c r="I33" i="25"/>
  <c r="C34" i="25"/>
  <c r="D34" i="25"/>
  <c r="E34" i="25"/>
  <c r="F34" i="25"/>
  <c r="G34" i="25"/>
  <c r="H34" i="25"/>
  <c r="I34" i="25"/>
  <c r="C35" i="25"/>
  <c r="D35" i="25"/>
  <c r="E35" i="25"/>
  <c r="F35" i="25"/>
  <c r="G35" i="25"/>
  <c r="H35" i="25"/>
  <c r="I35" i="25"/>
  <c r="C36" i="25"/>
  <c r="D36" i="25"/>
  <c r="E36" i="25"/>
  <c r="F36" i="25"/>
  <c r="G36" i="25"/>
  <c r="H36" i="25"/>
  <c r="I36" i="25"/>
  <c r="C37" i="25"/>
  <c r="D37" i="25"/>
  <c r="E37" i="25"/>
  <c r="F37" i="25"/>
  <c r="G37" i="25"/>
  <c r="H37" i="25"/>
  <c r="I37" i="25"/>
  <c r="C38" i="25"/>
  <c r="D38" i="25"/>
  <c r="E38" i="25"/>
  <c r="F38" i="25"/>
  <c r="G38" i="25"/>
  <c r="H38" i="25"/>
  <c r="I38" i="25"/>
  <c r="C39" i="25"/>
  <c r="D39" i="25"/>
  <c r="E39" i="25"/>
  <c r="F39" i="25"/>
  <c r="G39" i="25"/>
  <c r="H39" i="25"/>
  <c r="I39" i="25"/>
  <c r="C40" i="25"/>
  <c r="D40" i="25"/>
  <c r="E40" i="25"/>
  <c r="F40" i="25"/>
  <c r="G40" i="25"/>
  <c r="H40" i="25"/>
  <c r="I40" i="25"/>
  <c r="C41" i="25"/>
  <c r="D41" i="25"/>
  <c r="E41" i="25"/>
  <c r="F41" i="25"/>
  <c r="G41" i="25"/>
  <c r="H41" i="25"/>
  <c r="I41" i="25"/>
  <c r="I10" i="25"/>
  <c r="G10" i="25"/>
  <c r="H10" i="25"/>
  <c r="F10" i="25"/>
  <c r="E10" i="25"/>
  <c r="D10" i="25"/>
  <c r="C10" i="25"/>
  <c r="A16" i="24"/>
  <c r="A17" i="24"/>
  <c r="A18" i="24"/>
  <c r="B16" i="24"/>
  <c r="C16" i="24"/>
  <c r="E16" i="24"/>
  <c r="F16" i="24"/>
  <c r="G16" i="24"/>
  <c r="H16" i="24"/>
  <c r="D16" i="24"/>
  <c r="B17" i="24"/>
  <c r="C17" i="24"/>
  <c r="E17" i="24"/>
  <c r="F17" i="24"/>
  <c r="G17" i="24"/>
  <c r="H17" i="24"/>
  <c r="D17" i="24"/>
  <c r="D18" i="24"/>
  <c r="H18" i="24"/>
  <c r="G18" i="24"/>
  <c r="F18" i="24"/>
  <c r="E18" i="24"/>
  <c r="C18" i="24"/>
  <c r="B18" i="24"/>
  <c r="F24" i="89"/>
  <c r="E24" i="89"/>
  <c r="D24" i="89"/>
  <c r="C24" i="89"/>
  <c r="B24" i="89"/>
  <c r="F23" i="89"/>
  <c r="E23" i="89"/>
  <c r="D23" i="89"/>
  <c r="C23" i="89"/>
  <c r="B23" i="89"/>
  <c r="F22" i="89"/>
  <c r="E22" i="89"/>
  <c r="D22" i="89"/>
  <c r="C22" i="89"/>
  <c r="B22" i="89"/>
  <c r="F21" i="89"/>
  <c r="E21" i="89"/>
  <c r="D21" i="89"/>
  <c r="C21" i="89"/>
  <c r="B21" i="89"/>
  <c r="F20" i="89"/>
  <c r="E20" i="89"/>
  <c r="D20" i="89"/>
  <c r="C20" i="89"/>
  <c r="B20" i="89"/>
  <c r="F19" i="89"/>
  <c r="E19" i="89"/>
  <c r="D19" i="89"/>
  <c r="C19" i="89"/>
  <c r="B19" i="89"/>
  <c r="F18" i="89"/>
  <c r="E18" i="89"/>
  <c r="D18" i="89"/>
  <c r="C18" i="89"/>
  <c r="B18" i="89"/>
  <c r="F17" i="89"/>
  <c r="E17" i="89"/>
  <c r="D17" i="89"/>
  <c r="C17" i="89"/>
  <c r="B17" i="89"/>
  <c r="F16" i="89"/>
  <c r="E16" i="89"/>
  <c r="D16" i="89"/>
  <c r="C16" i="89"/>
  <c r="B16" i="89"/>
  <c r="F15" i="89"/>
  <c r="E15" i="89"/>
  <c r="D15" i="89"/>
  <c r="C15" i="89"/>
  <c r="B15" i="89"/>
  <c r="F14" i="89"/>
  <c r="E14" i="89"/>
  <c r="D14" i="89"/>
  <c r="C14" i="89"/>
  <c r="B14" i="89"/>
  <c r="F13" i="89"/>
  <c r="E13" i="89"/>
  <c r="D13" i="89"/>
  <c r="C13" i="89"/>
  <c r="B13" i="89"/>
  <c r="F12" i="89"/>
  <c r="E12" i="89"/>
  <c r="D12" i="89"/>
  <c r="C12" i="89"/>
  <c r="B12" i="89"/>
  <c r="F11" i="89"/>
  <c r="E11" i="89"/>
  <c r="D11" i="89"/>
  <c r="C11" i="89"/>
  <c r="B11" i="89"/>
  <c r="F10" i="89"/>
  <c r="E10" i="89"/>
  <c r="D10" i="89"/>
  <c r="C10" i="89"/>
  <c r="B10" i="89"/>
  <c r="L42" i="36"/>
  <c r="K42" i="36"/>
  <c r="J42" i="36"/>
  <c r="I42" i="36"/>
  <c r="F42" i="36"/>
  <c r="E42" i="36"/>
  <c r="D42" i="36"/>
  <c r="C42" i="36"/>
  <c r="L41" i="36"/>
  <c r="K41" i="36"/>
  <c r="J41" i="36"/>
  <c r="I41" i="36"/>
  <c r="F41" i="36"/>
  <c r="E41" i="36"/>
  <c r="D41" i="36"/>
  <c r="C41" i="36"/>
  <c r="L40" i="36"/>
  <c r="K40" i="36"/>
  <c r="J40" i="36"/>
  <c r="I40" i="36"/>
  <c r="F40" i="36"/>
  <c r="E40" i="36"/>
  <c r="D40" i="36"/>
  <c r="C40" i="36"/>
  <c r="L39" i="36"/>
  <c r="K39" i="36"/>
  <c r="J39" i="36"/>
  <c r="I39" i="36"/>
  <c r="F39" i="36"/>
  <c r="E39" i="36"/>
  <c r="D39" i="36"/>
  <c r="C39" i="36"/>
  <c r="L38" i="36"/>
  <c r="K38" i="36"/>
  <c r="J38" i="36"/>
  <c r="I38" i="36"/>
  <c r="F38" i="36"/>
  <c r="E38" i="36"/>
  <c r="D38" i="36"/>
  <c r="C38" i="36"/>
  <c r="L37" i="36"/>
  <c r="K37" i="36"/>
  <c r="J37" i="36"/>
  <c r="I37" i="36"/>
  <c r="F37" i="36"/>
  <c r="E37" i="36"/>
  <c r="D37" i="36"/>
  <c r="C37" i="36"/>
  <c r="L36" i="36"/>
  <c r="K36" i="36"/>
  <c r="J36" i="36"/>
  <c r="I36" i="36"/>
  <c r="F36" i="36"/>
  <c r="E36" i="36"/>
  <c r="D36" i="36"/>
  <c r="C36" i="36"/>
  <c r="L35" i="36"/>
  <c r="K35" i="36"/>
  <c r="J35" i="36"/>
  <c r="I35" i="36"/>
  <c r="F35" i="36"/>
  <c r="E35" i="36"/>
  <c r="D35" i="36"/>
  <c r="C35" i="36"/>
  <c r="L34" i="36"/>
  <c r="K34" i="36"/>
  <c r="J34" i="36"/>
  <c r="I34" i="36"/>
  <c r="F34" i="36"/>
  <c r="E34" i="36"/>
  <c r="D34" i="36"/>
  <c r="C34" i="36"/>
  <c r="L33" i="36"/>
  <c r="K33" i="36"/>
  <c r="J33" i="36"/>
  <c r="I33" i="36"/>
  <c r="F33" i="36"/>
  <c r="E33" i="36"/>
  <c r="D33" i="36"/>
  <c r="C33" i="36"/>
  <c r="L32" i="36"/>
  <c r="K32" i="36"/>
  <c r="J32" i="36"/>
  <c r="I32" i="36"/>
  <c r="F32" i="36"/>
  <c r="E32" i="36"/>
  <c r="D32" i="36"/>
  <c r="C32" i="36"/>
  <c r="L31" i="36"/>
  <c r="K31" i="36"/>
  <c r="J31" i="36"/>
  <c r="I31" i="36"/>
  <c r="F31" i="36"/>
  <c r="E31" i="36"/>
  <c r="D31" i="36"/>
  <c r="C31" i="36"/>
  <c r="L30" i="36"/>
  <c r="K30" i="36"/>
  <c r="J30" i="36"/>
  <c r="I30" i="36"/>
  <c r="F30" i="36"/>
  <c r="E30" i="36"/>
  <c r="D30" i="36"/>
  <c r="C30" i="36"/>
  <c r="L29" i="36"/>
  <c r="K29" i="36"/>
  <c r="J29" i="36"/>
  <c r="I29" i="36"/>
  <c r="F29" i="36"/>
  <c r="E29" i="36"/>
  <c r="D29" i="36"/>
  <c r="C29" i="36"/>
  <c r="L28" i="36"/>
  <c r="K28" i="36"/>
  <c r="J28" i="36"/>
  <c r="I28" i="36"/>
  <c r="F28" i="36"/>
  <c r="E28" i="36"/>
  <c r="D28" i="36"/>
  <c r="C28" i="36"/>
  <c r="L27" i="36"/>
  <c r="K27" i="36"/>
  <c r="J27" i="36"/>
  <c r="I27" i="36"/>
  <c r="F27" i="36"/>
  <c r="E27" i="36"/>
  <c r="D27" i="36"/>
  <c r="C27" i="36"/>
  <c r="L26" i="36"/>
  <c r="K26" i="36"/>
  <c r="J26" i="36"/>
  <c r="I26" i="36"/>
  <c r="F26" i="36"/>
  <c r="E26" i="36"/>
  <c r="D26" i="36"/>
  <c r="C26" i="36"/>
  <c r="L25" i="36"/>
  <c r="K25" i="36"/>
  <c r="J25" i="36"/>
  <c r="I25" i="36"/>
  <c r="F25" i="36"/>
  <c r="E25" i="36"/>
  <c r="D25" i="36"/>
  <c r="C25" i="36"/>
  <c r="L24" i="36"/>
  <c r="K24" i="36"/>
  <c r="J24" i="36"/>
  <c r="I24" i="36"/>
  <c r="F24" i="36"/>
  <c r="E24" i="36"/>
  <c r="D24" i="36"/>
  <c r="C24" i="36"/>
  <c r="L23" i="36"/>
  <c r="K23" i="36"/>
  <c r="J23" i="36"/>
  <c r="I23" i="36"/>
  <c r="F23" i="36"/>
  <c r="E23" i="36"/>
  <c r="D23" i="36"/>
  <c r="C23" i="36"/>
  <c r="L22" i="36"/>
  <c r="K22" i="36"/>
  <c r="J22" i="36"/>
  <c r="I22" i="36"/>
  <c r="F22" i="36"/>
  <c r="E22" i="36"/>
  <c r="D22" i="36"/>
  <c r="C22" i="36"/>
  <c r="L21" i="36"/>
  <c r="K21" i="36"/>
  <c r="J21" i="36"/>
  <c r="I21" i="36"/>
  <c r="F21" i="36"/>
  <c r="E21" i="36"/>
  <c r="D21" i="36"/>
  <c r="C21" i="36"/>
  <c r="L20" i="36"/>
  <c r="K20" i="36"/>
  <c r="J20" i="36"/>
  <c r="I20" i="36"/>
  <c r="F20" i="36"/>
  <c r="E20" i="36"/>
  <c r="D20" i="36"/>
  <c r="C20" i="36"/>
  <c r="L19" i="36"/>
  <c r="K19" i="36"/>
  <c r="J19" i="36"/>
  <c r="I19" i="36"/>
  <c r="F19" i="36"/>
  <c r="E19" i="36"/>
  <c r="D19" i="36"/>
  <c r="C19" i="36"/>
  <c r="L18" i="36"/>
  <c r="K18" i="36"/>
  <c r="J18" i="36"/>
  <c r="I18" i="36"/>
  <c r="F18" i="36"/>
  <c r="E18" i="36"/>
  <c r="D18" i="36"/>
  <c r="C18" i="36"/>
  <c r="L17" i="36"/>
  <c r="K17" i="36"/>
  <c r="J17" i="36"/>
  <c r="I17" i="36"/>
  <c r="F17" i="36"/>
  <c r="E17" i="36"/>
  <c r="D17" i="36"/>
  <c r="C17" i="36"/>
  <c r="L16" i="36"/>
  <c r="K16" i="36"/>
  <c r="J16" i="36"/>
  <c r="I16" i="36"/>
  <c r="F16" i="36"/>
  <c r="E16" i="36"/>
  <c r="D16" i="36"/>
  <c r="C16" i="36"/>
  <c r="L15" i="36"/>
  <c r="K15" i="36"/>
  <c r="J15" i="36"/>
  <c r="I15" i="36"/>
  <c r="F15" i="36"/>
  <c r="E15" i="36"/>
  <c r="D15" i="36"/>
  <c r="C15" i="36"/>
  <c r="L14" i="36"/>
  <c r="K14" i="36"/>
  <c r="J14" i="36"/>
  <c r="I14" i="36"/>
  <c r="F14" i="36"/>
  <c r="E14" i="36"/>
  <c r="D14" i="36"/>
  <c r="C14" i="36"/>
  <c r="L13" i="36"/>
  <c r="K13" i="36"/>
  <c r="J13" i="36"/>
  <c r="I13" i="36"/>
  <c r="F13" i="36"/>
  <c r="E13" i="36"/>
  <c r="D13" i="36"/>
  <c r="C13" i="36"/>
  <c r="L12" i="36"/>
  <c r="K12" i="36"/>
  <c r="J12" i="36"/>
  <c r="I12" i="36"/>
  <c r="F12" i="36"/>
  <c r="E12" i="36"/>
  <c r="D12" i="36"/>
  <c r="C12" i="36"/>
  <c r="L11" i="36"/>
  <c r="K11" i="36"/>
  <c r="J11" i="36"/>
  <c r="I11" i="36"/>
  <c r="F11" i="36"/>
  <c r="E11" i="36"/>
  <c r="D11" i="36"/>
  <c r="C11" i="36"/>
  <c r="K49" i="35"/>
  <c r="J49" i="35"/>
  <c r="I49" i="35"/>
  <c r="H49" i="35"/>
  <c r="E49" i="35"/>
  <c r="D49" i="35"/>
  <c r="C49" i="35"/>
  <c r="B49" i="35"/>
  <c r="K48" i="35"/>
  <c r="J48" i="35"/>
  <c r="I48" i="35"/>
  <c r="H48" i="35"/>
  <c r="E48" i="35"/>
  <c r="D48" i="35"/>
  <c r="C48" i="35"/>
  <c r="B48" i="35"/>
  <c r="K47" i="35"/>
  <c r="J47" i="35"/>
  <c r="I47" i="35"/>
  <c r="H47" i="35"/>
  <c r="E47" i="35"/>
  <c r="D47" i="35"/>
  <c r="C47" i="35"/>
  <c r="B47" i="35"/>
  <c r="K46" i="35"/>
  <c r="J46" i="35"/>
  <c r="I46" i="35"/>
  <c r="H46" i="35"/>
  <c r="E46" i="35"/>
  <c r="D46" i="35"/>
  <c r="C46" i="35"/>
  <c r="B46" i="35"/>
  <c r="K45" i="35"/>
  <c r="J45" i="35"/>
  <c r="I45" i="35"/>
  <c r="H45" i="35"/>
  <c r="E45" i="35"/>
  <c r="D45" i="35"/>
  <c r="C45" i="35"/>
  <c r="B45" i="35"/>
  <c r="K44" i="35"/>
  <c r="J44" i="35"/>
  <c r="I44" i="35"/>
  <c r="H44" i="35"/>
  <c r="E44" i="35"/>
  <c r="D44" i="35"/>
  <c r="C44" i="35"/>
  <c r="B44" i="35"/>
  <c r="K43" i="35"/>
  <c r="J43" i="35"/>
  <c r="I43" i="35"/>
  <c r="H43" i="35"/>
  <c r="E43" i="35"/>
  <c r="D43" i="35"/>
  <c r="C43" i="35"/>
  <c r="B43" i="35"/>
  <c r="K42" i="35"/>
  <c r="J42" i="35"/>
  <c r="I42" i="35"/>
  <c r="H42" i="35"/>
  <c r="E42" i="35"/>
  <c r="D42" i="35"/>
  <c r="C42" i="35"/>
  <c r="B42" i="35"/>
  <c r="K41" i="35"/>
  <c r="J41" i="35"/>
  <c r="I41" i="35"/>
  <c r="H41" i="35"/>
  <c r="E41" i="35"/>
  <c r="D41" i="35"/>
  <c r="C41" i="35"/>
  <c r="B41" i="35"/>
  <c r="K40" i="35"/>
  <c r="J40" i="35"/>
  <c r="I40" i="35"/>
  <c r="H40" i="35"/>
  <c r="E40" i="35"/>
  <c r="D40" i="35"/>
  <c r="C40" i="35"/>
  <c r="B40" i="35"/>
  <c r="K39" i="35"/>
  <c r="J39" i="35"/>
  <c r="I39" i="35"/>
  <c r="H39" i="35"/>
  <c r="E39" i="35"/>
  <c r="D39" i="35"/>
  <c r="C39" i="35"/>
  <c r="B39" i="35"/>
  <c r="K38" i="35"/>
  <c r="J38" i="35"/>
  <c r="I38" i="35"/>
  <c r="H38" i="35"/>
  <c r="E38" i="35"/>
  <c r="D38" i="35"/>
  <c r="C38" i="35"/>
  <c r="B38" i="35"/>
  <c r="K37" i="35"/>
  <c r="J37" i="35"/>
  <c r="I37" i="35"/>
  <c r="H37" i="35"/>
  <c r="E37" i="35"/>
  <c r="D37" i="35"/>
  <c r="C37" i="35"/>
  <c r="B37" i="35"/>
  <c r="K36" i="35"/>
  <c r="J36" i="35"/>
  <c r="I36" i="35"/>
  <c r="H36" i="35"/>
  <c r="E36" i="35"/>
  <c r="D36" i="35"/>
  <c r="C36" i="35"/>
  <c r="B36" i="35"/>
  <c r="K35" i="35"/>
  <c r="J35" i="35"/>
  <c r="I35" i="35"/>
  <c r="H35" i="35"/>
  <c r="E35" i="35"/>
  <c r="D35" i="35"/>
  <c r="C35" i="35"/>
  <c r="B35" i="35"/>
  <c r="E14" i="42"/>
  <c r="D14" i="42"/>
  <c r="C14" i="42"/>
  <c r="B14" i="42"/>
  <c r="A14" i="42"/>
  <c r="E13" i="42"/>
  <c r="D13" i="42"/>
  <c r="C13" i="42"/>
  <c r="B13" i="42"/>
  <c r="A13" i="42"/>
  <c r="E12" i="42"/>
  <c r="D12" i="42"/>
  <c r="C12" i="42"/>
  <c r="B12" i="42"/>
  <c r="A12" i="42"/>
  <c r="E11" i="42"/>
  <c r="D11" i="42"/>
  <c r="C11" i="42"/>
  <c r="B11" i="42"/>
  <c r="A11" i="42"/>
  <c r="E10" i="42"/>
  <c r="D10" i="42"/>
  <c r="C10" i="42"/>
  <c r="B10" i="42"/>
  <c r="A10" i="42"/>
  <c r="J20" i="35"/>
  <c r="P20" i="35" s="1"/>
  <c r="I20" i="35"/>
  <c r="E20" i="35"/>
  <c r="D20" i="35"/>
  <c r="C20" i="35"/>
  <c r="B20" i="35"/>
  <c r="A20" i="35"/>
  <c r="J19" i="35"/>
  <c r="I19" i="35"/>
  <c r="E19" i="35"/>
  <c r="D19" i="35"/>
  <c r="C19" i="35"/>
  <c r="B19" i="35"/>
  <c r="A19" i="35"/>
  <c r="J18" i="35"/>
  <c r="I18" i="35"/>
  <c r="E18" i="35"/>
  <c r="D18" i="35"/>
  <c r="C18" i="35"/>
  <c r="B18" i="35"/>
  <c r="A18" i="35"/>
  <c r="J17" i="35"/>
  <c r="I17" i="35"/>
  <c r="E17" i="35"/>
  <c r="D17" i="35"/>
  <c r="C17" i="35"/>
  <c r="B17" i="35"/>
  <c r="A17" i="35"/>
  <c r="K16" i="35"/>
  <c r="J16" i="35"/>
  <c r="I16" i="35"/>
  <c r="H16" i="35"/>
  <c r="E16" i="35"/>
  <c r="D16" i="35"/>
  <c r="C16" i="35"/>
  <c r="B16" i="35"/>
  <c r="A16" i="35"/>
  <c r="K15" i="35"/>
  <c r="J15" i="35"/>
  <c r="I15" i="35"/>
  <c r="H15" i="35"/>
  <c r="E15" i="35"/>
  <c r="D15" i="35"/>
  <c r="C15" i="35"/>
  <c r="B15" i="35"/>
  <c r="A15" i="35"/>
  <c r="K14" i="35"/>
  <c r="J14" i="35"/>
  <c r="I14" i="35"/>
  <c r="H14" i="35"/>
  <c r="E14" i="35"/>
  <c r="D14" i="35"/>
  <c r="C14" i="35"/>
  <c r="B14" i="35"/>
  <c r="A14" i="35"/>
  <c r="K13" i="35"/>
  <c r="J13" i="35"/>
  <c r="I13" i="35"/>
  <c r="H13" i="35"/>
  <c r="E13" i="35"/>
  <c r="D13" i="35"/>
  <c r="C13" i="35"/>
  <c r="B13" i="35"/>
  <c r="A13" i="35"/>
  <c r="K12" i="35"/>
  <c r="J12" i="35"/>
  <c r="I12" i="35"/>
  <c r="H12" i="35"/>
  <c r="E12" i="35"/>
  <c r="D12" i="35"/>
  <c r="C12" i="35"/>
  <c r="B12" i="35"/>
  <c r="A12" i="35"/>
  <c r="K11" i="35"/>
  <c r="J11" i="35"/>
  <c r="I11" i="35"/>
  <c r="H11" i="35"/>
  <c r="E11" i="35"/>
  <c r="D11" i="35"/>
  <c r="C11" i="35"/>
  <c r="B11" i="35"/>
  <c r="A11" i="35"/>
  <c r="R41" i="34"/>
  <c r="Q41" i="34"/>
  <c r="P41" i="34"/>
  <c r="O41" i="34"/>
  <c r="N41" i="34"/>
  <c r="M41" i="34"/>
  <c r="L41" i="34"/>
  <c r="K41" i="34"/>
  <c r="J41" i="34"/>
  <c r="I41" i="34"/>
  <c r="H41" i="34"/>
  <c r="G41" i="34"/>
  <c r="F41" i="34"/>
  <c r="E41" i="34"/>
  <c r="D41" i="34"/>
  <c r="C41" i="34"/>
  <c r="R40" i="34"/>
  <c r="Q40" i="34"/>
  <c r="P40" i="34"/>
  <c r="O40" i="34"/>
  <c r="N40" i="34"/>
  <c r="M40" i="34"/>
  <c r="L40" i="34"/>
  <c r="K40" i="34"/>
  <c r="J40" i="34"/>
  <c r="I40" i="34"/>
  <c r="H40" i="34"/>
  <c r="G40" i="34"/>
  <c r="F40" i="34"/>
  <c r="E40" i="34"/>
  <c r="D40" i="34"/>
  <c r="C40" i="34"/>
  <c r="R39" i="34"/>
  <c r="Q39" i="34"/>
  <c r="P39" i="34"/>
  <c r="O39" i="34"/>
  <c r="N39" i="34"/>
  <c r="M39" i="34"/>
  <c r="L39" i="34"/>
  <c r="K39" i="34"/>
  <c r="J39" i="34"/>
  <c r="I39" i="34"/>
  <c r="H39" i="34"/>
  <c r="G39" i="34"/>
  <c r="F39" i="34"/>
  <c r="E39" i="34"/>
  <c r="D39" i="34"/>
  <c r="C39" i="34"/>
  <c r="R38" i="34"/>
  <c r="Q38" i="34"/>
  <c r="P38" i="34"/>
  <c r="O38" i="34"/>
  <c r="N38" i="34"/>
  <c r="M38" i="34"/>
  <c r="L38" i="34"/>
  <c r="K38" i="34"/>
  <c r="J38" i="34"/>
  <c r="I38" i="34"/>
  <c r="H38" i="34"/>
  <c r="G38" i="34"/>
  <c r="F38" i="34"/>
  <c r="E38" i="34"/>
  <c r="D38" i="34"/>
  <c r="C38" i="34"/>
  <c r="R37" i="34"/>
  <c r="Q37" i="34"/>
  <c r="P37" i="34"/>
  <c r="O37" i="34"/>
  <c r="N37" i="34"/>
  <c r="M37" i="34"/>
  <c r="L37" i="34"/>
  <c r="K37" i="34"/>
  <c r="J37" i="34"/>
  <c r="I37" i="34"/>
  <c r="H37" i="34"/>
  <c r="G37" i="34"/>
  <c r="F37" i="34"/>
  <c r="E37" i="34"/>
  <c r="D37" i="34"/>
  <c r="C37" i="34"/>
  <c r="R36" i="34"/>
  <c r="Q36" i="34"/>
  <c r="P36" i="34"/>
  <c r="O36" i="34"/>
  <c r="N36" i="34"/>
  <c r="M36" i="34"/>
  <c r="L36" i="34"/>
  <c r="K36" i="34"/>
  <c r="J36" i="34"/>
  <c r="I36" i="34"/>
  <c r="H36" i="34"/>
  <c r="G36" i="34"/>
  <c r="F36" i="34"/>
  <c r="E36" i="34"/>
  <c r="D36" i="34"/>
  <c r="C36" i="34"/>
  <c r="R35" i="34"/>
  <c r="Q35" i="34"/>
  <c r="P35" i="34"/>
  <c r="O35" i="34"/>
  <c r="N35" i="34"/>
  <c r="M35" i="34"/>
  <c r="L35" i="34"/>
  <c r="K35" i="34"/>
  <c r="J35" i="34"/>
  <c r="I35" i="34"/>
  <c r="H35" i="34"/>
  <c r="G35" i="34"/>
  <c r="F35" i="34"/>
  <c r="E35" i="34"/>
  <c r="D35" i="34"/>
  <c r="C35" i="34"/>
  <c r="R34" i="34"/>
  <c r="Q34" i="34"/>
  <c r="P34" i="34"/>
  <c r="O34" i="34"/>
  <c r="N34" i="34"/>
  <c r="M34" i="34"/>
  <c r="L34" i="34"/>
  <c r="K34" i="34"/>
  <c r="J34" i="34"/>
  <c r="I34" i="34"/>
  <c r="H34" i="34"/>
  <c r="G34" i="34"/>
  <c r="F34" i="34"/>
  <c r="E34" i="34"/>
  <c r="D34" i="34"/>
  <c r="C34" i="34"/>
  <c r="R33" i="34"/>
  <c r="Q33" i="34"/>
  <c r="P33" i="34"/>
  <c r="O33" i="34"/>
  <c r="N33" i="34"/>
  <c r="M33" i="34"/>
  <c r="L33" i="34"/>
  <c r="K33" i="34"/>
  <c r="J33" i="34"/>
  <c r="I33" i="34"/>
  <c r="H33" i="34"/>
  <c r="G33" i="34"/>
  <c r="F33" i="34"/>
  <c r="E33" i="34"/>
  <c r="D33" i="34"/>
  <c r="C33" i="34"/>
  <c r="R32" i="34"/>
  <c r="Q32" i="34"/>
  <c r="P32" i="34"/>
  <c r="O32" i="34"/>
  <c r="N32" i="34"/>
  <c r="M32" i="34"/>
  <c r="L32" i="34"/>
  <c r="K32" i="34"/>
  <c r="J32" i="34"/>
  <c r="I32" i="34"/>
  <c r="H32" i="34"/>
  <c r="G32" i="34"/>
  <c r="F32" i="34"/>
  <c r="E32" i="34"/>
  <c r="D32" i="34"/>
  <c r="C32" i="34"/>
  <c r="R31" i="34"/>
  <c r="Q31" i="34"/>
  <c r="P31" i="34"/>
  <c r="O31" i="34"/>
  <c r="N31" i="34"/>
  <c r="M31" i="34"/>
  <c r="L31" i="34"/>
  <c r="K31" i="34"/>
  <c r="J31" i="34"/>
  <c r="I31" i="34"/>
  <c r="H31" i="34"/>
  <c r="G31" i="34"/>
  <c r="F31" i="34"/>
  <c r="E31" i="34"/>
  <c r="D31" i="34"/>
  <c r="C31" i="34"/>
  <c r="R30" i="34"/>
  <c r="Q30" i="34"/>
  <c r="P30" i="34"/>
  <c r="O30" i="34"/>
  <c r="N30" i="34"/>
  <c r="M30" i="34"/>
  <c r="L30" i="34"/>
  <c r="K30" i="34"/>
  <c r="J30" i="34"/>
  <c r="I30" i="34"/>
  <c r="H30" i="34"/>
  <c r="G30" i="34"/>
  <c r="F30" i="34"/>
  <c r="E30" i="34"/>
  <c r="D30" i="34"/>
  <c r="C30" i="34"/>
  <c r="R29" i="34"/>
  <c r="Q29" i="34"/>
  <c r="P29" i="34"/>
  <c r="O29" i="34"/>
  <c r="N29" i="34"/>
  <c r="M29" i="34"/>
  <c r="L29" i="34"/>
  <c r="K29" i="34"/>
  <c r="J29" i="34"/>
  <c r="I29" i="34"/>
  <c r="H29" i="34"/>
  <c r="G29" i="34"/>
  <c r="F29" i="34"/>
  <c r="E29" i="34"/>
  <c r="D29" i="34"/>
  <c r="C29" i="34"/>
  <c r="R28" i="34"/>
  <c r="Q28" i="34"/>
  <c r="P28" i="34"/>
  <c r="O28" i="34"/>
  <c r="N28" i="34"/>
  <c r="M28" i="34"/>
  <c r="L28" i="34"/>
  <c r="K28" i="34"/>
  <c r="J28" i="34"/>
  <c r="I28" i="34"/>
  <c r="H28" i="34"/>
  <c r="G28" i="34"/>
  <c r="F28" i="34"/>
  <c r="E28" i="34"/>
  <c r="D28" i="34"/>
  <c r="C28" i="34"/>
  <c r="R27" i="34"/>
  <c r="Q27" i="34"/>
  <c r="P27" i="34"/>
  <c r="O27" i="34"/>
  <c r="N27" i="34"/>
  <c r="M27" i="34"/>
  <c r="L27" i="34"/>
  <c r="K27" i="34"/>
  <c r="J27" i="34"/>
  <c r="I27" i="34"/>
  <c r="H27" i="34"/>
  <c r="G27" i="34"/>
  <c r="F27" i="34"/>
  <c r="E27" i="34"/>
  <c r="D27" i="34"/>
  <c r="C27" i="34"/>
  <c r="R26" i="34"/>
  <c r="Q26" i="34"/>
  <c r="P26" i="34"/>
  <c r="O26" i="34"/>
  <c r="N26" i="34"/>
  <c r="M26" i="34"/>
  <c r="L26" i="34"/>
  <c r="K26" i="34"/>
  <c r="J26" i="34"/>
  <c r="I26" i="34"/>
  <c r="H26" i="34"/>
  <c r="G26" i="34"/>
  <c r="F26" i="34"/>
  <c r="E26" i="34"/>
  <c r="D26" i="34"/>
  <c r="C26" i="34"/>
  <c r="R25" i="34"/>
  <c r="Q25" i="34"/>
  <c r="P25" i="34"/>
  <c r="O25" i="34"/>
  <c r="N25" i="34"/>
  <c r="M25" i="34"/>
  <c r="L25" i="34"/>
  <c r="K25" i="34"/>
  <c r="J25" i="34"/>
  <c r="I25" i="34"/>
  <c r="H25" i="34"/>
  <c r="G25" i="34"/>
  <c r="F25" i="34"/>
  <c r="E25" i="34"/>
  <c r="D25" i="34"/>
  <c r="C25" i="34"/>
  <c r="R24" i="34"/>
  <c r="Q24" i="34"/>
  <c r="P24" i="34"/>
  <c r="O24" i="34"/>
  <c r="N24" i="34"/>
  <c r="M24" i="34"/>
  <c r="L24" i="34"/>
  <c r="K24" i="34"/>
  <c r="J24" i="34"/>
  <c r="I24" i="34"/>
  <c r="H24" i="34"/>
  <c r="G24" i="34"/>
  <c r="F24" i="34"/>
  <c r="E24" i="34"/>
  <c r="D24" i="34"/>
  <c r="C24" i="34"/>
  <c r="R23" i="34"/>
  <c r="Q23" i="34"/>
  <c r="P23" i="34"/>
  <c r="O23" i="34"/>
  <c r="N23" i="34"/>
  <c r="M23" i="34"/>
  <c r="L23" i="34"/>
  <c r="K23" i="34"/>
  <c r="J23" i="34"/>
  <c r="I23" i="34"/>
  <c r="H23" i="34"/>
  <c r="G23" i="34"/>
  <c r="F23" i="34"/>
  <c r="E23" i="34"/>
  <c r="D23" i="34"/>
  <c r="C23" i="34"/>
  <c r="R22" i="34"/>
  <c r="Q22" i="34"/>
  <c r="P22" i="34"/>
  <c r="O22" i="34"/>
  <c r="N22" i="34"/>
  <c r="M22" i="34"/>
  <c r="L22" i="34"/>
  <c r="K22" i="34"/>
  <c r="J22" i="34"/>
  <c r="I22" i="34"/>
  <c r="H22" i="34"/>
  <c r="G22" i="34"/>
  <c r="F22" i="34"/>
  <c r="E22" i="34"/>
  <c r="D22" i="34"/>
  <c r="C22" i="34"/>
  <c r="R21" i="34"/>
  <c r="Q21" i="34"/>
  <c r="P21" i="34"/>
  <c r="O21" i="34"/>
  <c r="N21" i="34"/>
  <c r="M21" i="34"/>
  <c r="L21" i="34"/>
  <c r="K21" i="34"/>
  <c r="J21" i="34"/>
  <c r="I21" i="34"/>
  <c r="H21" i="34"/>
  <c r="G21" i="34"/>
  <c r="F21" i="34"/>
  <c r="E21" i="34"/>
  <c r="D21" i="34"/>
  <c r="C21" i="34"/>
  <c r="R20" i="34"/>
  <c r="Q20" i="34"/>
  <c r="P20" i="34"/>
  <c r="O20" i="34"/>
  <c r="N20" i="34"/>
  <c r="M20" i="34"/>
  <c r="L20" i="34"/>
  <c r="K20" i="34"/>
  <c r="J20" i="34"/>
  <c r="I20" i="34"/>
  <c r="H20" i="34"/>
  <c r="G20" i="34"/>
  <c r="F20" i="34"/>
  <c r="E20" i="34"/>
  <c r="D20" i="34"/>
  <c r="C20" i="34"/>
  <c r="R19" i="34"/>
  <c r="Q19" i="34"/>
  <c r="P19" i="34"/>
  <c r="O19" i="34"/>
  <c r="N19" i="34"/>
  <c r="M19" i="34"/>
  <c r="L19" i="34"/>
  <c r="K19" i="34"/>
  <c r="J19" i="34"/>
  <c r="I19" i="34"/>
  <c r="H19" i="34"/>
  <c r="G19" i="34"/>
  <c r="F19" i="34"/>
  <c r="E19" i="34"/>
  <c r="D19" i="34"/>
  <c r="C19" i="34"/>
  <c r="R18" i="34"/>
  <c r="Q18" i="34"/>
  <c r="P18" i="34"/>
  <c r="O18" i="34"/>
  <c r="N18" i="34"/>
  <c r="M18" i="34"/>
  <c r="L18" i="34"/>
  <c r="K18" i="34"/>
  <c r="J18" i="34"/>
  <c r="I18" i="34"/>
  <c r="H18" i="34"/>
  <c r="G18" i="34"/>
  <c r="F18" i="34"/>
  <c r="E18" i="34"/>
  <c r="D18" i="34"/>
  <c r="C18" i="34"/>
  <c r="R17" i="34"/>
  <c r="Q17" i="34"/>
  <c r="P17" i="34"/>
  <c r="O17" i="34"/>
  <c r="N17" i="34"/>
  <c r="M17" i="34"/>
  <c r="L17" i="34"/>
  <c r="K17" i="34"/>
  <c r="J17" i="34"/>
  <c r="I17" i="34"/>
  <c r="H17" i="34"/>
  <c r="G17" i="34"/>
  <c r="F17" i="34"/>
  <c r="E17" i="34"/>
  <c r="D17" i="34"/>
  <c r="C17" i="34"/>
  <c r="R16" i="34"/>
  <c r="Q16" i="34"/>
  <c r="P16" i="34"/>
  <c r="O16" i="34"/>
  <c r="N16" i="34"/>
  <c r="M16" i="34"/>
  <c r="L16" i="34"/>
  <c r="K16" i="34"/>
  <c r="J16" i="34"/>
  <c r="I16" i="34"/>
  <c r="H16" i="34"/>
  <c r="G16" i="34"/>
  <c r="F16" i="34"/>
  <c r="E16" i="34"/>
  <c r="D16" i="34"/>
  <c r="C16" i="34"/>
  <c r="R15" i="34"/>
  <c r="Q15" i="34"/>
  <c r="P15" i="34"/>
  <c r="O15" i="34"/>
  <c r="N15" i="34"/>
  <c r="M15" i="34"/>
  <c r="L15" i="34"/>
  <c r="K15" i="34"/>
  <c r="J15" i="34"/>
  <c r="I15" i="34"/>
  <c r="H15" i="34"/>
  <c r="G15" i="34"/>
  <c r="F15" i="34"/>
  <c r="E15" i="34"/>
  <c r="D15" i="34"/>
  <c r="C15" i="34"/>
  <c r="R14" i="34"/>
  <c r="Q14" i="34"/>
  <c r="P14" i="34"/>
  <c r="O14" i="34"/>
  <c r="N14" i="34"/>
  <c r="M14" i="34"/>
  <c r="L14" i="34"/>
  <c r="K14" i="34"/>
  <c r="J14" i="34"/>
  <c r="I14" i="34"/>
  <c r="H14" i="34"/>
  <c r="G14" i="34"/>
  <c r="F14" i="34"/>
  <c r="E14" i="34"/>
  <c r="D14" i="34"/>
  <c r="C14" i="34"/>
  <c r="R13" i="34"/>
  <c r="Q13" i="34"/>
  <c r="P13" i="34"/>
  <c r="O13" i="34"/>
  <c r="N13" i="34"/>
  <c r="M13" i="34"/>
  <c r="L13" i="34"/>
  <c r="K13" i="34"/>
  <c r="J13" i="34"/>
  <c r="I13" i="34"/>
  <c r="H13" i="34"/>
  <c r="G13" i="34"/>
  <c r="F13" i="34"/>
  <c r="E13" i="34"/>
  <c r="D13" i="34"/>
  <c r="C13" i="34"/>
  <c r="R12" i="34"/>
  <c r="Q12" i="34"/>
  <c r="P12" i="34"/>
  <c r="O12" i="34"/>
  <c r="N12" i="34"/>
  <c r="M12" i="34"/>
  <c r="L12" i="34"/>
  <c r="K12" i="34"/>
  <c r="J12" i="34"/>
  <c r="I12" i="34"/>
  <c r="H12" i="34"/>
  <c r="G12" i="34"/>
  <c r="F12" i="34"/>
  <c r="E12" i="34"/>
  <c r="D12" i="34"/>
  <c r="C12" i="34"/>
  <c r="R11" i="34"/>
  <c r="Q11" i="34"/>
  <c r="P11" i="34"/>
  <c r="O11" i="34"/>
  <c r="N11" i="34"/>
  <c r="M11" i="34"/>
  <c r="L11" i="34"/>
  <c r="K11" i="34"/>
  <c r="J11" i="34"/>
  <c r="I11" i="34"/>
  <c r="H11" i="34"/>
  <c r="G11" i="34"/>
  <c r="F11" i="34"/>
  <c r="E11" i="34"/>
  <c r="D11" i="34"/>
  <c r="C11" i="34"/>
  <c r="R10" i="34"/>
  <c r="Q10" i="34"/>
  <c r="P10" i="34"/>
  <c r="O10" i="34"/>
  <c r="N10" i="34"/>
  <c r="M10" i="34"/>
  <c r="L10" i="34"/>
  <c r="K10" i="34"/>
  <c r="J10" i="34"/>
  <c r="I10" i="34"/>
  <c r="H10" i="34"/>
  <c r="G10" i="34"/>
  <c r="F10" i="34"/>
  <c r="E10" i="34"/>
  <c r="D10" i="34"/>
  <c r="C10" i="34"/>
  <c r="E15" i="33"/>
  <c r="D15" i="33"/>
  <c r="C15" i="33"/>
  <c r="B15" i="33"/>
  <c r="A15" i="33"/>
  <c r="E14" i="33"/>
  <c r="D14" i="33"/>
  <c r="C14" i="33"/>
  <c r="B14" i="33"/>
  <c r="A14" i="33"/>
  <c r="E13" i="33"/>
  <c r="D13" i="33"/>
  <c r="C13" i="33"/>
  <c r="B13" i="33"/>
  <c r="A13" i="33"/>
  <c r="E12" i="33"/>
  <c r="D12" i="33"/>
  <c r="C12" i="33"/>
  <c r="B12" i="33"/>
  <c r="A12" i="33"/>
  <c r="E11" i="33"/>
  <c r="D11" i="33"/>
  <c r="C11" i="33"/>
  <c r="B11" i="33"/>
  <c r="A11" i="33"/>
  <c r="F42" i="32"/>
  <c r="G42" i="32"/>
  <c r="E42" i="32"/>
  <c r="D42" i="32"/>
  <c r="C42" i="32"/>
  <c r="F41" i="32"/>
  <c r="G41" i="32"/>
  <c r="E41" i="32"/>
  <c r="D41" i="32"/>
  <c r="C41" i="32"/>
  <c r="F40" i="32"/>
  <c r="G40" i="32"/>
  <c r="E40" i="32"/>
  <c r="D40" i="32"/>
  <c r="C40" i="32"/>
  <c r="F39" i="32"/>
  <c r="G39" i="32"/>
  <c r="E39" i="32"/>
  <c r="D39" i="32"/>
  <c r="C39" i="32"/>
  <c r="F38" i="32"/>
  <c r="G38" i="32"/>
  <c r="E38" i="32"/>
  <c r="D38" i="32"/>
  <c r="C38" i="32"/>
  <c r="F37" i="32"/>
  <c r="G37" i="32"/>
  <c r="E37" i="32"/>
  <c r="D37" i="32"/>
  <c r="C37" i="32"/>
  <c r="F36" i="32"/>
  <c r="G36" i="32"/>
  <c r="E36" i="32"/>
  <c r="D36" i="32"/>
  <c r="C36" i="32"/>
  <c r="F35" i="32"/>
  <c r="G35" i="32"/>
  <c r="E35" i="32"/>
  <c r="D35" i="32"/>
  <c r="C35" i="32"/>
  <c r="F34" i="32"/>
  <c r="G34" i="32"/>
  <c r="E34" i="32"/>
  <c r="D34" i="32"/>
  <c r="C34" i="32"/>
  <c r="F33" i="32"/>
  <c r="G33" i="32"/>
  <c r="E33" i="32"/>
  <c r="D33" i="32"/>
  <c r="C33" i="32"/>
  <c r="F32" i="32"/>
  <c r="G32" i="32"/>
  <c r="E32" i="32"/>
  <c r="D32" i="32"/>
  <c r="C32" i="32"/>
  <c r="F31" i="32"/>
  <c r="G31" i="32"/>
  <c r="E31" i="32"/>
  <c r="D31" i="32"/>
  <c r="C31" i="32"/>
  <c r="F30" i="32"/>
  <c r="G30" i="32"/>
  <c r="E30" i="32"/>
  <c r="D30" i="32"/>
  <c r="C30" i="32"/>
  <c r="F29" i="32"/>
  <c r="G29" i="32"/>
  <c r="E29" i="32"/>
  <c r="D29" i="32"/>
  <c r="C29" i="32"/>
  <c r="F28" i="32"/>
  <c r="G28" i="32"/>
  <c r="E28" i="32"/>
  <c r="D28" i="32"/>
  <c r="C28" i="32"/>
  <c r="F27" i="32"/>
  <c r="G27" i="32"/>
  <c r="E27" i="32"/>
  <c r="D27" i="32"/>
  <c r="C27" i="32"/>
  <c r="F26" i="32"/>
  <c r="G26" i="32"/>
  <c r="E26" i="32"/>
  <c r="D26" i="32"/>
  <c r="C26" i="32"/>
  <c r="F25" i="32"/>
  <c r="G25" i="32"/>
  <c r="E25" i="32"/>
  <c r="D25" i="32"/>
  <c r="C25" i="32"/>
  <c r="F24" i="32"/>
  <c r="G24" i="32"/>
  <c r="E24" i="32"/>
  <c r="D24" i="32"/>
  <c r="C24" i="32"/>
  <c r="F23" i="32"/>
  <c r="G23" i="32"/>
  <c r="E23" i="32"/>
  <c r="D23" i="32"/>
  <c r="C23" i="32"/>
  <c r="F22" i="32"/>
  <c r="G22" i="32"/>
  <c r="E22" i="32"/>
  <c r="D22" i="32"/>
  <c r="C22" i="32"/>
  <c r="F21" i="32"/>
  <c r="G21" i="32"/>
  <c r="E21" i="32"/>
  <c r="D21" i="32"/>
  <c r="C21" i="32"/>
  <c r="F20" i="32"/>
  <c r="G20" i="32"/>
  <c r="E20" i="32"/>
  <c r="D20" i="32"/>
  <c r="C20" i="32"/>
  <c r="F19" i="32"/>
  <c r="G19" i="32"/>
  <c r="E19" i="32"/>
  <c r="D19" i="32"/>
  <c r="C19" i="32"/>
  <c r="F18" i="32"/>
  <c r="G18" i="32"/>
  <c r="E18" i="32"/>
  <c r="D18" i="32"/>
  <c r="C18" i="32"/>
  <c r="F17" i="32"/>
  <c r="G17" i="32"/>
  <c r="E17" i="32"/>
  <c r="D17" i="32"/>
  <c r="C17" i="32"/>
  <c r="F16" i="32"/>
  <c r="G16" i="32"/>
  <c r="E16" i="32"/>
  <c r="D16" i="32"/>
  <c r="C16" i="32"/>
  <c r="F15" i="32"/>
  <c r="G15" i="32"/>
  <c r="E15" i="32"/>
  <c r="D15" i="32"/>
  <c r="C15" i="32"/>
  <c r="F14" i="32"/>
  <c r="G14" i="32"/>
  <c r="E14" i="32"/>
  <c r="D14" i="32"/>
  <c r="C14" i="32"/>
  <c r="F13" i="32"/>
  <c r="G13" i="32"/>
  <c r="E13" i="32"/>
  <c r="D13" i="32"/>
  <c r="C13" i="32"/>
  <c r="G12" i="32"/>
  <c r="E12" i="32"/>
  <c r="D12" i="32"/>
  <c r="C12" i="32"/>
  <c r="F11" i="32"/>
  <c r="G11" i="32"/>
  <c r="E11" i="32"/>
  <c r="D11" i="32"/>
  <c r="C11" i="32"/>
  <c r="H41" i="30"/>
  <c r="G41" i="30"/>
  <c r="F41" i="30"/>
  <c r="E41" i="30"/>
  <c r="D41" i="30"/>
  <c r="C41" i="30"/>
  <c r="H40" i="30"/>
  <c r="G40" i="30"/>
  <c r="F40" i="30"/>
  <c r="E40" i="30"/>
  <c r="D40" i="30"/>
  <c r="C40" i="30"/>
  <c r="H39" i="30"/>
  <c r="G39" i="30"/>
  <c r="F39" i="30"/>
  <c r="E39" i="30"/>
  <c r="D39" i="30"/>
  <c r="C39" i="30"/>
  <c r="H38" i="30"/>
  <c r="G38" i="30"/>
  <c r="F38" i="30"/>
  <c r="E38" i="30"/>
  <c r="D38" i="30"/>
  <c r="C38" i="30"/>
  <c r="H37" i="30"/>
  <c r="G37" i="30"/>
  <c r="F37" i="30"/>
  <c r="E37" i="30"/>
  <c r="D37" i="30"/>
  <c r="C37" i="30"/>
  <c r="H36" i="30"/>
  <c r="G36" i="30"/>
  <c r="F36" i="30"/>
  <c r="E36" i="30"/>
  <c r="D36" i="30"/>
  <c r="C36" i="30"/>
  <c r="H35" i="30"/>
  <c r="G35" i="30"/>
  <c r="F35" i="30"/>
  <c r="E35" i="30"/>
  <c r="D35" i="30"/>
  <c r="C35" i="30"/>
  <c r="H34" i="30"/>
  <c r="G34" i="30"/>
  <c r="F34" i="30"/>
  <c r="E34" i="30"/>
  <c r="D34" i="30"/>
  <c r="C34" i="30"/>
  <c r="H33" i="30"/>
  <c r="G33" i="30"/>
  <c r="F33" i="30"/>
  <c r="E33" i="30"/>
  <c r="D33" i="30"/>
  <c r="C33" i="30"/>
  <c r="H32" i="30"/>
  <c r="G32" i="30"/>
  <c r="F32" i="30"/>
  <c r="E32" i="30"/>
  <c r="D32" i="30"/>
  <c r="C32" i="30"/>
  <c r="H31" i="30"/>
  <c r="G31" i="30"/>
  <c r="F31" i="30"/>
  <c r="E31" i="30"/>
  <c r="D31" i="30"/>
  <c r="C31" i="30"/>
  <c r="H30" i="30"/>
  <c r="G30" i="30"/>
  <c r="F30" i="30"/>
  <c r="E30" i="30"/>
  <c r="D30" i="30"/>
  <c r="C30" i="30"/>
  <c r="H29" i="30"/>
  <c r="G29" i="30"/>
  <c r="F29" i="30"/>
  <c r="E29" i="30"/>
  <c r="D29" i="30"/>
  <c r="C29" i="30"/>
  <c r="H28" i="30"/>
  <c r="G28" i="30"/>
  <c r="F28" i="30"/>
  <c r="E28" i="30"/>
  <c r="D28" i="30"/>
  <c r="C28" i="30"/>
  <c r="H27" i="30"/>
  <c r="G27" i="30"/>
  <c r="F27" i="30"/>
  <c r="E27" i="30"/>
  <c r="D27" i="30"/>
  <c r="C27" i="30"/>
  <c r="H26" i="30"/>
  <c r="G26" i="30"/>
  <c r="F26" i="30"/>
  <c r="E26" i="30"/>
  <c r="D26" i="30"/>
  <c r="C26" i="30"/>
  <c r="H25" i="30"/>
  <c r="G25" i="30"/>
  <c r="F25" i="30"/>
  <c r="E25" i="30"/>
  <c r="D25" i="30"/>
  <c r="C25" i="30"/>
  <c r="H24" i="30"/>
  <c r="G24" i="30"/>
  <c r="F24" i="30"/>
  <c r="E24" i="30"/>
  <c r="D24" i="30"/>
  <c r="C24" i="30"/>
  <c r="H23" i="30"/>
  <c r="G23" i="30"/>
  <c r="F23" i="30"/>
  <c r="E23" i="30"/>
  <c r="D23" i="30"/>
  <c r="C23" i="30"/>
  <c r="H22" i="30"/>
  <c r="G22" i="30"/>
  <c r="F22" i="30"/>
  <c r="E22" i="30"/>
  <c r="D22" i="30"/>
  <c r="C22" i="30"/>
  <c r="H21" i="30"/>
  <c r="G21" i="30"/>
  <c r="F21" i="30"/>
  <c r="E21" i="30"/>
  <c r="D21" i="30"/>
  <c r="C21" i="30"/>
  <c r="H20" i="30"/>
  <c r="G20" i="30"/>
  <c r="F20" i="30"/>
  <c r="E20" i="30"/>
  <c r="D20" i="30"/>
  <c r="C20" i="30"/>
  <c r="H19" i="30"/>
  <c r="G19" i="30"/>
  <c r="F19" i="30"/>
  <c r="E19" i="30"/>
  <c r="D19" i="30"/>
  <c r="C19" i="30"/>
  <c r="H18" i="30"/>
  <c r="G18" i="30"/>
  <c r="F18" i="30"/>
  <c r="E18" i="30"/>
  <c r="D18" i="30"/>
  <c r="C18" i="30"/>
  <c r="H17" i="30"/>
  <c r="G17" i="30"/>
  <c r="F17" i="30"/>
  <c r="E17" i="30"/>
  <c r="D17" i="30"/>
  <c r="C17" i="30"/>
  <c r="H16" i="30"/>
  <c r="G16" i="30"/>
  <c r="F16" i="30"/>
  <c r="E16" i="30"/>
  <c r="D16" i="30"/>
  <c r="C16" i="30"/>
  <c r="H15" i="30"/>
  <c r="G15" i="30"/>
  <c r="F15" i="30"/>
  <c r="E15" i="30"/>
  <c r="D15" i="30"/>
  <c r="C15" i="30"/>
  <c r="H14" i="30"/>
  <c r="G14" i="30"/>
  <c r="F14" i="30"/>
  <c r="E14" i="30"/>
  <c r="D14" i="30"/>
  <c r="C14" i="30"/>
  <c r="H13" i="30"/>
  <c r="G13" i="30"/>
  <c r="F13" i="30"/>
  <c r="E13" i="30"/>
  <c r="D13" i="30"/>
  <c r="C13" i="30"/>
  <c r="H12" i="30"/>
  <c r="G12" i="30"/>
  <c r="F12" i="30"/>
  <c r="E12" i="30"/>
  <c r="D12" i="30"/>
  <c r="C12" i="30"/>
  <c r="H11" i="30"/>
  <c r="G11" i="30"/>
  <c r="F11" i="30"/>
  <c r="E11" i="30"/>
  <c r="D11" i="30"/>
  <c r="C11" i="30"/>
  <c r="H10" i="30"/>
  <c r="G10" i="30"/>
  <c r="F10" i="30"/>
  <c r="E10" i="30"/>
  <c r="D10" i="30"/>
  <c r="C10" i="30"/>
  <c r="A35" i="82"/>
  <c r="A34" i="82"/>
  <c r="A33" i="82"/>
  <c r="A32" i="82"/>
  <c r="A31" i="82"/>
  <c r="G16" i="82"/>
  <c r="F16" i="82"/>
  <c r="E16" i="82"/>
  <c r="D16" i="82"/>
  <c r="C16" i="82"/>
  <c r="B16" i="82"/>
  <c r="A16" i="82"/>
  <c r="G15" i="82"/>
  <c r="F15" i="82"/>
  <c r="E15" i="82"/>
  <c r="D15" i="82"/>
  <c r="C15" i="82"/>
  <c r="B15" i="82"/>
  <c r="A15" i="82"/>
  <c r="G14" i="82"/>
  <c r="F14" i="82"/>
  <c r="E14" i="82"/>
  <c r="D14" i="82"/>
  <c r="C14" i="82"/>
  <c r="B14" i="82"/>
  <c r="A14" i="82"/>
  <c r="G13" i="82"/>
  <c r="F13" i="82"/>
  <c r="E13" i="82"/>
  <c r="D13" i="82"/>
  <c r="C13" i="82"/>
  <c r="B13" i="82"/>
  <c r="A13" i="82"/>
  <c r="G12" i="82"/>
  <c r="F12" i="82"/>
  <c r="E12" i="82"/>
  <c r="D12" i="82"/>
  <c r="C12" i="82"/>
  <c r="B12" i="82"/>
  <c r="A12" i="82"/>
  <c r="A36" i="81"/>
  <c r="A35" i="81"/>
  <c r="A34" i="81"/>
  <c r="A33" i="81"/>
  <c r="A32" i="81"/>
  <c r="A31" i="81"/>
  <c r="H17" i="81"/>
  <c r="G17" i="81"/>
  <c r="F17" i="81"/>
  <c r="E17" i="81"/>
  <c r="D17" i="81"/>
  <c r="C17" i="81"/>
  <c r="B17" i="81"/>
  <c r="A17" i="81"/>
  <c r="H16" i="81"/>
  <c r="G16" i="81"/>
  <c r="F16" i="81"/>
  <c r="E16" i="81"/>
  <c r="D16" i="81"/>
  <c r="C16" i="81"/>
  <c r="B16" i="81"/>
  <c r="A16" i="81"/>
  <c r="H15" i="81"/>
  <c r="G15" i="81"/>
  <c r="F15" i="81"/>
  <c r="E15" i="81"/>
  <c r="D15" i="81"/>
  <c r="C15" i="81"/>
  <c r="B15" i="81"/>
  <c r="A15" i="81"/>
  <c r="H14" i="81"/>
  <c r="G14" i="81"/>
  <c r="F14" i="81"/>
  <c r="E14" i="81"/>
  <c r="D14" i="81"/>
  <c r="C14" i="81"/>
  <c r="B14" i="81"/>
  <c r="A14" i="81"/>
  <c r="H13" i="81"/>
  <c r="G13" i="81"/>
  <c r="F13" i="81"/>
  <c r="E13" i="81"/>
  <c r="D13" i="81"/>
  <c r="C13" i="81"/>
  <c r="B13" i="81"/>
  <c r="A13" i="81"/>
  <c r="H12" i="81"/>
  <c r="G12" i="81"/>
  <c r="F12" i="81"/>
  <c r="E12" i="81"/>
  <c r="D12" i="81"/>
  <c r="C12" i="81"/>
  <c r="B12" i="81"/>
  <c r="A12" i="81"/>
  <c r="E67" i="28"/>
  <c r="F66" i="28"/>
  <c r="E66" i="28" s="1"/>
  <c r="F65" i="28"/>
  <c r="E65" i="28" s="1"/>
  <c r="F64" i="28"/>
  <c r="E64" i="28" s="1"/>
  <c r="F63" i="28"/>
  <c r="E63" i="28" s="1"/>
  <c r="F62" i="28"/>
  <c r="E62" i="28" s="1"/>
  <c r="F61" i="28"/>
  <c r="E61" i="28" s="1"/>
  <c r="F60" i="28"/>
  <c r="E60" i="28" s="1"/>
  <c r="A67" i="28"/>
  <c r="A66" i="28"/>
  <c r="A65" i="28"/>
  <c r="A64" i="28"/>
  <c r="A63" i="28"/>
  <c r="A62" i="28"/>
  <c r="A61" i="28"/>
  <c r="A60" i="28"/>
  <c r="A48" i="28"/>
  <c r="A47" i="28"/>
  <c r="A46" i="28"/>
  <c r="A45" i="28"/>
  <c r="A44" i="28"/>
  <c r="A43" i="28"/>
  <c r="A42" i="28"/>
  <c r="A41" i="28"/>
  <c r="A40" i="28"/>
  <c r="C18" i="28"/>
  <c r="B18" i="28"/>
  <c r="A18" i="28"/>
  <c r="C17" i="28"/>
  <c r="B17" i="28"/>
  <c r="B66" i="28" s="1"/>
  <c r="A17" i="28"/>
  <c r="C16" i="28"/>
  <c r="B16" i="28"/>
  <c r="E46" i="28" s="1"/>
  <c r="A16" i="28"/>
  <c r="C15" i="28"/>
  <c r="B15" i="28"/>
  <c r="A15" i="28"/>
  <c r="C14" i="28"/>
  <c r="B14" i="28"/>
  <c r="A14" i="28"/>
  <c r="C13" i="28"/>
  <c r="B13" i="28"/>
  <c r="A13" i="28"/>
  <c r="C12" i="28"/>
  <c r="B12" i="28"/>
  <c r="A12" i="28"/>
  <c r="C11" i="28"/>
  <c r="B11" i="28"/>
  <c r="A11" i="28"/>
  <c r="C10" i="28"/>
  <c r="B10" i="28"/>
  <c r="A10" i="28"/>
  <c r="F41" i="27"/>
  <c r="E41" i="27"/>
  <c r="D41" i="27"/>
  <c r="C41" i="27"/>
  <c r="F40" i="27"/>
  <c r="E40" i="27"/>
  <c r="D40" i="27"/>
  <c r="C40" i="27"/>
  <c r="F39" i="27"/>
  <c r="E39" i="27"/>
  <c r="D39" i="27"/>
  <c r="C39" i="27"/>
  <c r="F38" i="27"/>
  <c r="E38" i="27"/>
  <c r="D38" i="27"/>
  <c r="C38" i="27"/>
  <c r="F37" i="27"/>
  <c r="E37" i="27"/>
  <c r="D37" i="27"/>
  <c r="C37" i="27"/>
  <c r="F36" i="27"/>
  <c r="E36" i="27"/>
  <c r="D36" i="27"/>
  <c r="C36" i="27"/>
  <c r="F35" i="27"/>
  <c r="E35" i="27"/>
  <c r="D35" i="27"/>
  <c r="C35" i="27"/>
  <c r="F34" i="27"/>
  <c r="E34" i="27"/>
  <c r="D34" i="27"/>
  <c r="C34" i="27"/>
  <c r="F33" i="27"/>
  <c r="E33" i="27"/>
  <c r="D33" i="27"/>
  <c r="C33" i="27"/>
  <c r="F32" i="27"/>
  <c r="E32" i="27"/>
  <c r="D32" i="27"/>
  <c r="C32" i="27"/>
  <c r="F31" i="27"/>
  <c r="E31" i="27"/>
  <c r="D31" i="27"/>
  <c r="C31" i="27"/>
  <c r="F30" i="27"/>
  <c r="E30" i="27"/>
  <c r="D30" i="27"/>
  <c r="C30" i="27"/>
  <c r="F29" i="27"/>
  <c r="E29" i="27"/>
  <c r="D29" i="27"/>
  <c r="C29" i="27"/>
  <c r="F28" i="27"/>
  <c r="E28" i="27"/>
  <c r="D28" i="27"/>
  <c r="C28" i="27"/>
  <c r="F27" i="27"/>
  <c r="E27" i="27"/>
  <c r="D27" i="27"/>
  <c r="C27" i="27"/>
  <c r="F26" i="27"/>
  <c r="E26" i="27"/>
  <c r="D26" i="27"/>
  <c r="C26" i="27"/>
  <c r="F25" i="27"/>
  <c r="E25" i="27"/>
  <c r="D25" i="27"/>
  <c r="C25" i="27"/>
  <c r="F24" i="27"/>
  <c r="E24" i="27"/>
  <c r="D24" i="27"/>
  <c r="C24" i="27"/>
  <c r="F23" i="27"/>
  <c r="E23" i="27"/>
  <c r="D23" i="27"/>
  <c r="C23" i="27"/>
  <c r="F22" i="27"/>
  <c r="E22" i="27"/>
  <c r="D22" i="27"/>
  <c r="C22" i="27"/>
  <c r="F21" i="27"/>
  <c r="E21" i="27"/>
  <c r="D21" i="27"/>
  <c r="C21" i="27"/>
  <c r="F20" i="27"/>
  <c r="E20" i="27"/>
  <c r="D20" i="27"/>
  <c r="C20" i="27"/>
  <c r="F19" i="27"/>
  <c r="E19" i="27"/>
  <c r="D19" i="27"/>
  <c r="C19" i="27"/>
  <c r="F18" i="27"/>
  <c r="E18" i="27"/>
  <c r="D18" i="27"/>
  <c r="C18" i="27"/>
  <c r="F17" i="27"/>
  <c r="E17" i="27"/>
  <c r="D17" i="27"/>
  <c r="C17" i="27"/>
  <c r="F16" i="27"/>
  <c r="E16" i="27"/>
  <c r="D16" i="27"/>
  <c r="C16" i="27"/>
  <c r="F15" i="27"/>
  <c r="E15" i="27"/>
  <c r="D15" i="27"/>
  <c r="C15" i="27"/>
  <c r="F14" i="27"/>
  <c r="E14" i="27"/>
  <c r="D14" i="27"/>
  <c r="C14" i="27"/>
  <c r="F13" i="27"/>
  <c r="E13" i="27"/>
  <c r="D13" i="27"/>
  <c r="C13" i="27"/>
  <c r="F12" i="27"/>
  <c r="E12" i="27"/>
  <c r="D12" i="27"/>
  <c r="C12" i="27"/>
  <c r="F11" i="27"/>
  <c r="E11" i="27"/>
  <c r="D11" i="27"/>
  <c r="C11" i="27"/>
  <c r="F10" i="27"/>
  <c r="E10" i="27"/>
  <c r="D10" i="27"/>
  <c r="C10" i="27"/>
  <c r="H31" i="26"/>
  <c r="F31" i="26"/>
  <c r="D31" i="26"/>
  <c r="B31" i="26"/>
  <c r="A31" i="26"/>
  <c r="H30" i="26"/>
  <c r="F30" i="26"/>
  <c r="D30" i="26"/>
  <c r="B30" i="26"/>
  <c r="A30" i="26"/>
  <c r="H29" i="26"/>
  <c r="F29" i="26"/>
  <c r="D29" i="26"/>
  <c r="B29" i="26"/>
  <c r="A29" i="26"/>
  <c r="H28" i="26"/>
  <c r="F28" i="26"/>
  <c r="D28" i="26"/>
  <c r="B28" i="26"/>
  <c r="A28" i="26"/>
  <c r="H15" i="26"/>
  <c r="F15" i="26"/>
  <c r="D15" i="26"/>
  <c r="B15" i="26"/>
  <c r="A15" i="26"/>
  <c r="H14" i="26"/>
  <c r="F14" i="26"/>
  <c r="D14" i="26"/>
  <c r="B14" i="26"/>
  <c r="A14" i="26"/>
  <c r="H13" i="26"/>
  <c r="F13" i="26"/>
  <c r="D13" i="26"/>
  <c r="B13" i="26"/>
  <c r="A13" i="26"/>
  <c r="H12" i="26"/>
  <c r="F12" i="26"/>
  <c r="D12" i="26"/>
  <c r="B12" i="26"/>
  <c r="A12" i="26"/>
  <c r="E18" i="22"/>
  <c r="D18" i="22"/>
  <c r="C18" i="22"/>
  <c r="B18" i="22"/>
  <c r="A18" i="22"/>
  <c r="E17" i="22"/>
  <c r="D17" i="22"/>
  <c r="C17" i="22"/>
  <c r="B17" i="22"/>
  <c r="A17" i="22"/>
  <c r="E16" i="22"/>
  <c r="D16" i="22"/>
  <c r="C16" i="22"/>
  <c r="B16" i="22"/>
  <c r="A16" i="22"/>
  <c r="E15" i="22"/>
  <c r="D15" i="22"/>
  <c r="C15" i="22"/>
  <c r="B15" i="22"/>
  <c r="A15" i="22"/>
  <c r="E14" i="22"/>
  <c r="D14" i="22"/>
  <c r="C14" i="22"/>
  <c r="B14" i="22"/>
  <c r="A14" i="22"/>
  <c r="E13" i="22"/>
  <c r="D13" i="22"/>
  <c r="C13" i="22"/>
  <c r="B13" i="22"/>
  <c r="A13" i="22"/>
  <c r="E12" i="22"/>
  <c r="D12" i="22"/>
  <c r="C12" i="22"/>
  <c r="B12" i="22"/>
  <c r="A12" i="22"/>
  <c r="E11" i="22"/>
  <c r="D11" i="22"/>
  <c r="C11" i="22"/>
  <c r="B11" i="22"/>
  <c r="A11" i="22"/>
  <c r="B63" i="76"/>
  <c r="F63" i="76"/>
  <c r="E63" i="76"/>
  <c r="C63" i="76"/>
  <c r="D63" i="76"/>
  <c r="H63" i="76"/>
  <c r="G63" i="76"/>
  <c r="A63" i="76"/>
  <c r="B62" i="76"/>
  <c r="F62" i="76"/>
  <c r="E62" i="76"/>
  <c r="C62" i="76"/>
  <c r="D62" i="76"/>
  <c r="H62" i="76"/>
  <c r="G62" i="76"/>
  <c r="A62" i="76"/>
  <c r="B61" i="76"/>
  <c r="F61" i="76"/>
  <c r="E61" i="76"/>
  <c r="C61" i="76"/>
  <c r="D61" i="76"/>
  <c r="H61" i="76"/>
  <c r="G61" i="76"/>
  <c r="A61" i="76"/>
  <c r="B35" i="76"/>
  <c r="F35" i="76"/>
  <c r="E35" i="76"/>
  <c r="C35" i="76"/>
  <c r="D35" i="76"/>
  <c r="G35" i="76"/>
  <c r="A35" i="76"/>
  <c r="B34" i="76"/>
  <c r="F34" i="76"/>
  <c r="E34" i="76"/>
  <c r="C34" i="76"/>
  <c r="D34" i="76"/>
  <c r="A34" i="76"/>
  <c r="A33" i="76"/>
  <c r="B21" i="76"/>
  <c r="F21" i="76"/>
  <c r="E21" i="76"/>
  <c r="C21" i="76"/>
  <c r="D21" i="76"/>
  <c r="G21" i="76"/>
  <c r="A21" i="76"/>
  <c r="B20" i="76"/>
  <c r="F20" i="76"/>
  <c r="E20" i="76"/>
  <c r="C20" i="76"/>
  <c r="D20" i="76"/>
  <c r="G20" i="76"/>
  <c r="A20" i="76"/>
  <c r="B19" i="76"/>
  <c r="F19" i="76"/>
  <c r="E19" i="76"/>
  <c r="C19" i="76"/>
  <c r="D19" i="76"/>
  <c r="G19" i="76"/>
  <c r="A19" i="76"/>
  <c r="B18" i="76"/>
  <c r="F18" i="76"/>
  <c r="E18" i="76"/>
  <c r="C18" i="76"/>
  <c r="D18" i="76"/>
  <c r="G18" i="76"/>
  <c r="A18" i="76"/>
  <c r="B17" i="76"/>
  <c r="F17" i="76"/>
  <c r="E17" i="76"/>
  <c r="C17" i="76"/>
  <c r="D17" i="76"/>
  <c r="G17" i="76"/>
  <c r="A17" i="76"/>
  <c r="B16" i="76"/>
  <c r="F16" i="76"/>
  <c r="E16" i="76"/>
  <c r="C16" i="76"/>
  <c r="D16" i="76"/>
  <c r="G16" i="76"/>
  <c r="A16" i="76"/>
  <c r="B15" i="76"/>
  <c r="F15" i="76"/>
  <c r="E15" i="76"/>
  <c r="C15" i="76"/>
  <c r="D15" i="76"/>
  <c r="G15" i="76"/>
  <c r="A15" i="76"/>
  <c r="B14" i="76"/>
  <c r="F14" i="76"/>
  <c r="E14" i="76"/>
  <c r="C14" i="76"/>
  <c r="D14" i="76"/>
  <c r="G14" i="76"/>
  <c r="A14" i="76"/>
  <c r="B13" i="76"/>
  <c r="F13" i="76"/>
  <c r="E13" i="76"/>
  <c r="C13" i="76"/>
  <c r="D13" i="76"/>
  <c r="G13" i="76"/>
  <c r="A13" i="76"/>
  <c r="B12" i="76"/>
  <c r="F12" i="76"/>
  <c r="E12" i="76"/>
  <c r="C12" i="76"/>
  <c r="D12" i="76"/>
  <c r="G12" i="76"/>
  <c r="A12" i="76"/>
  <c r="B11" i="76"/>
  <c r="F11" i="76"/>
  <c r="E11" i="76"/>
  <c r="C11" i="76"/>
  <c r="D11" i="76"/>
  <c r="G11" i="76"/>
  <c r="A11" i="76"/>
  <c r="E10" i="76"/>
  <c r="D10" i="76"/>
  <c r="H49" i="76"/>
  <c r="G49" i="76"/>
  <c r="F49" i="76"/>
  <c r="E49" i="76"/>
  <c r="D49" i="76"/>
  <c r="C49" i="76"/>
  <c r="B49" i="76"/>
  <c r="H48" i="76"/>
  <c r="G48" i="76"/>
  <c r="F48" i="76"/>
  <c r="E48" i="76"/>
  <c r="D48" i="76"/>
  <c r="C48" i="76"/>
  <c r="B48" i="76"/>
  <c r="H47" i="76"/>
  <c r="G47" i="76"/>
  <c r="F47" i="76"/>
  <c r="E47" i="76"/>
  <c r="D47" i="76"/>
  <c r="C47" i="76"/>
  <c r="B47" i="76"/>
  <c r="H32" i="21"/>
  <c r="G32" i="21"/>
  <c r="F32" i="21"/>
  <c r="E32" i="21"/>
  <c r="D32" i="21"/>
  <c r="C32" i="21"/>
  <c r="B32" i="21"/>
  <c r="A32" i="21"/>
  <c r="H31" i="21"/>
  <c r="G31" i="21"/>
  <c r="F31" i="21"/>
  <c r="E31" i="21"/>
  <c r="D31" i="21"/>
  <c r="C31" i="21"/>
  <c r="B31" i="21"/>
  <c r="A31" i="21"/>
  <c r="H30" i="21"/>
  <c r="G30" i="21"/>
  <c r="F30" i="21"/>
  <c r="E30" i="21"/>
  <c r="D30" i="21"/>
  <c r="C30" i="21"/>
  <c r="B30" i="21"/>
  <c r="A30" i="21"/>
  <c r="H29" i="21"/>
  <c r="G29" i="21"/>
  <c r="F29" i="21"/>
  <c r="E29" i="21"/>
  <c r="D29" i="21"/>
  <c r="C29" i="21"/>
  <c r="B29" i="21"/>
  <c r="A29" i="21"/>
  <c r="H28" i="21"/>
  <c r="G28" i="21"/>
  <c r="F28" i="21"/>
  <c r="E28" i="21"/>
  <c r="D28" i="21"/>
  <c r="C28" i="21"/>
  <c r="B28" i="21"/>
  <c r="A28" i="21"/>
  <c r="H17" i="21"/>
  <c r="G17" i="21"/>
  <c r="F17" i="21"/>
  <c r="E17" i="21"/>
  <c r="D17" i="21"/>
  <c r="C17" i="21"/>
  <c r="B17" i="21"/>
  <c r="A17" i="21"/>
  <c r="H16" i="21"/>
  <c r="G16" i="21"/>
  <c r="F16" i="21"/>
  <c r="E16" i="21"/>
  <c r="D16" i="21"/>
  <c r="C16" i="21"/>
  <c r="B16" i="21"/>
  <c r="A16" i="21"/>
  <c r="H15" i="21"/>
  <c r="G15" i="21"/>
  <c r="F15" i="21"/>
  <c r="E15" i="21"/>
  <c r="D15" i="21"/>
  <c r="C15" i="21"/>
  <c r="B15" i="21"/>
  <c r="A15" i="21"/>
  <c r="H14" i="21"/>
  <c r="G14" i="21"/>
  <c r="F14" i="21"/>
  <c r="E14" i="21"/>
  <c r="D14" i="21"/>
  <c r="C14" i="21"/>
  <c r="B14" i="21"/>
  <c r="A14" i="21"/>
  <c r="H13" i="21"/>
  <c r="G13" i="21"/>
  <c r="F13" i="21"/>
  <c r="E13" i="21"/>
  <c r="D13" i="21"/>
  <c r="C13" i="21"/>
  <c r="B13" i="21"/>
  <c r="A13" i="21"/>
  <c r="H12" i="21"/>
  <c r="G12" i="21"/>
  <c r="F12" i="21"/>
  <c r="E12" i="21"/>
  <c r="D12" i="21"/>
  <c r="C12" i="21"/>
  <c r="B12" i="21"/>
  <c r="A12" i="21"/>
  <c r="H11" i="21"/>
  <c r="G11" i="21"/>
  <c r="F11" i="21"/>
  <c r="E11" i="21"/>
  <c r="D11" i="21"/>
  <c r="C11" i="21"/>
  <c r="B11" i="21"/>
  <c r="A11" i="21"/>
  <c r="H10" i="21"/>
  <c r="G10" i="21"/>
  <c r="F10" i="21"/>
  <c r="E10" i="21"/>
  <c r="D10" i="21"/>
  <c r="C10" i="21"/>
  <c r="B10" i="21"/>
  <c r="A10" i="21"/>
  <c r="V18" i="20"/>
  <c r="U18" i="20"/>
  <c r="T18" i="20"/>
  <c r="S18" i="20"/>
  <c r="R18" i="20"/>
  <c r="Q18" i="20"/>
  <c r="P18" i="20"/>
  <c r="O18" i="20"/>
  <c r="N18" i="20"/>
  <c r="M18" i="20"/>
  <c r="L18" i="20"/>
  <c r="K18" i="20"/>
  <c r="J18" i="20"/>
  <c r="I18" i="20"/>
  <c r="H18" i="20"/>
  <c r="G18" i="20"/>
  <c r="F18" i="20"/>
  <c r="E18" i="20"/>
  <c r="D18" i="20"/>
  <c r="C18" i="20"/>
  <c r="B18" i="20"/>
  <c r="V17" i="20"/>
  <c r="U17" i="20"/>
  <c r="T17" i="20"/>
  <c r="S17" i="20"/>
  <c r="R17" i="20"/>
  <c r="Q17" i="20"/>
  <c r="P17" i="20"/>
  <c r="O17" i="20"/>
  <c r="N17" i="20"/>
  <c r="M17" i="20"/>
  <c r="L17" i="20"/>
  <c r="K17" i="20"/>
  <c r="J17" i="20"/>
  <c r="I17" i="20"/>
  <c r="H17" i="20"/>
  <c r="G17" i="20"/>
  <c r="F17" i="20"/>
  <c r="E17" i="20"/>
  <c r="D17" i="20"/>
  <c r="C17" i="20"/>
  <c r="B17" i="20"/>
  <c r="V16" i="20"/>
  <c r="U16" i="20"/>
  <c r="T16" i="20"/>
  <c r="S16" i="20"/>
  <c r="R16" i="20"/>
  <c r="Q16" i="20"/>
  <c r="P16" i="20"/>
  <c r="O16" i="20"/>
  <c r="N16" i="20"/>
  <c r="M16" i="20"/>
  <c r="L16" i="20"/>
  <c r="K16" i="20"/>
  <c r="J16" i="20"/>
  <c r="I16" i="20"/>
  <c r="H16" i="20"/>
  <c r="G16" i="20"/>
  <c r="F16" i="20"/>
  <c r="E16" i="20"/>
  <c r="D16" i="20"/>
  <c r="C16" i="20"/>
  <c r="B16" i="20"/>
  <c r="V15" i="20"/>
  <c r="U15" i="20"/>
  <c r="T15" i="20"/>
  <c r="S15" i="20"/>
  <c r="R15" i="20"/>
  <c r="Q15" i="20"/>
  <c r="P15" i="20"/>
  <c r="O15" i="20"/>
  <c r="N15" i="20"/>
  <c r="M15" i="20"/>
  <c r="L15" i="20"/>
  <c r="K15" i="20"/>
  <c r="J15" i="20"/>
  <c r="I15" i="20"/>
  <c r="H15" i="20"/>
  <c r="G15" i="20"/>
  <c r="F15" i="20"/>
  <c r="E15" i="20"/>
  <c r="D15" i="20"/>
  <c r="C15" i="20"/>
  <c r="B15" i="20"/>
  <c r="V14" i="20"/>
  <c r="U14" i="20"/>
  <c r="T14" i="20"/>
  <c r="S14" i="20"/>
  <c r="R14" i="20"/>
  <c r="Q14" i="20"/>
  <c r="P14" i="20"/>
  <c r="O14" i="20"/>
  <c r="N14" i="20"/>
  <c r="M14" i="20"/>
  <c r="L14" i="20"/>
  <c r="K14" i="20"/>
  <c r="J14" i="20"/>
  <c r="I14" i="20"/>
  <c r="H14" i="20"/>
  <c r="G14" i="20"/>
  <c r="F14" i="20"/>
  <c r="E14" i="20"/>
  <c r="D14" i="20"/>
  <c r="C14" i="20"/>
  <c r="B14" i="20"/>
  <c r="V13" i="20"/>
  <c r="U13" i="20"/>
  <c r="T13" i="20"/>
  <c r="S13" i="20"/>
  <c r="R13" i="20"/>
  <c r="Q13" i="20"/>
  <c r="P13" i="20"/>
  <c r="O13" i="20"/>
  <c r="N13" i="20"/>
  <c r="M13" i="20"/>
  <c r="L13" i="20"/>
  <c r="K13" i="20"/>
  <c r="J13" i="20"/>
  <c r="I13" i="20"/>
  <c r="H13" i="20"/>
  <c r="G13" i="20"/>
  <c r="F13" i="20"/>
  <c r="E13" i="20"/>
  <c r="D13" i="20"/>
  <c r="C13" i="20"/>
  <c r="B13" i="20"/>
  <c r="V12" i="20"/>
  <c r="U12" i="20"/>
  <c r="T12" i="20"/>
  <c r="S12" i="20"/>
  <c r="R12" i="20"/>
  <c r="Q12" i="20"/>
  <c r="P12" i="20"/>
  <c r="O12" i="20"/>
  <c r="N12" i="20"/>
  <c r="M12" i="20"/>
  <c r="L12" i="20"/>
  <c r="K12" i="20"/>
  <c r="J12" i="20"/>
  <c r="I12" i="20"/>
  <c r="H12" i="20"/>
  <c r="G12" i="20"/>
  <c r="F12" i="20"/>
  <c r="E12" i="20"/>
  <c r="D12" i="20"/>
  <c r="C12" i="20"/>
  <c r="B12" i="20"/>
  <c r="V11" i="20"/>
  <c r="U11" i="20"/>
  <c r="T11" i="20"/>
  <c r="S11" i="20"/>
  <c r="R11" i="20"/>
  <c r="Q11" i="20"/>
  <c r="P11" i="20"/>
  <c r="O11" i="20"/>
  <c r="N11" i="20"/>
  <c r="M11" i="20"/>
  <c r="L11" i="20"/>
  <c r="K11" i="20"/>
  <c r="J11" i="20"/>
  <c r="I11" i="20"/>
  <c r="H11" i="20"/>
  <c r="G11" i="20"/>
  <c r="F11" i="20"/>
  <c r="E11" i="20"/>
  <c r="D11" i="20"/>
  <c r="C11" i="20"/>
  <c r="B11" i="20"/>
  <c r="A18" i="20"/>
  <c r="A17" i="20"/>
  <c r="A16" i="20"/>
  <c r="A15" i="20"/>
  <c r="A14" i="20"/>
  <c r="A13" i="20"/>
  <c r="A12" i="20"/>
  <c r="A11" i="20"/>
  <c r="K18" i="15"/>
  <c r="J18" i="15"/>
  <c r="I18" i="15"/>
  <c r="H18" i="15"/>
  <c r="G18" i="15"/>
  <c r="F18" i="15"/>
  <c r="E18" i="15"/>
  <c r="D18" i="15"/>
  <c r="C18" i="15"/>
  <c r="B18" i="15"/>
  <c r="A18" i="15"/>
  <c r="K17" i="15"/>
  <c r="J17" i="15"/>
  <c r="I17" i="15"/>
  <c r="H17" i="15"/>
  <c r="G17" i="15"/>
  <c r="F17" i="15"/>
  <c r="E17" i="15"/>
  <c r="D17" i="15"/>
  <c r="C17" i="15"/>
  <c r="B17" i="15"/>
  <c r="A17" i="15"/>
  <c r="A32" i="15" s="1"/>
  <c r="K16" i="15"/>
  <c r="J16" i="15"/>
  <c r="I16" i="15"/>
  <c r="H16" i="15"/>
  <c r="G16" i="15"/>
  <c r="F16" i="15"/>
  <c r="E16" i="15"/>
  <c r="D16" i="15"/>
  <c r="C16" i="15"/>
  <c r="B16" i="15"/>
  <c r="A16" i="15"/>
  <c r="K15" i="15"/>
  <c r="J15" i="15"/>
  <c r="I15" i="15"/>
  <c r="H15" i="15"/>
  <c r="G15" i="15"/>
  <c r="F15" i="15"/>
  <c r="E15" i="15"/>
  <c r="D15" i="15"/>
  <c r="C15" i="15"/>
  <c r="B15" i="15"/>
  <c r="A15" i="15"/>
  <c r="K14" i="15"/>
  <c r="J14" i="15"/>
  <c r="I14" i="15"/>
  <c r="H14" i="15"/>
  <c r="G14" i="15"/>
  <c r="F14" i="15"/>
  <c r="E14" i="15"/>
  <c r="D14" i="15"/>
  <c r="C14" i="15"/>
  <c r="B14" i="15"/>
  <c r="A14" i="15"/>
  <c r="K13" i="15"/>
  <c r="J13" i="15"/>
  <c r="I13" i="15"/>
  <c r="H13" i="15"/>
  <c r="G13" i="15"/>
  <c r="F13" i="15"/>
  <c r="E13" i="15"/>
  <c r="D13" i="15"/>
  <c r="C13" i="15"/>
  <c r="B13" i="15"/>
  <c r="A13" i="15"/>
  <c r="A36" i="15" s="1"/>
  <c r="K12" i="15"/>
  <c r="J12" i="15"/>
  <c r="I12" i="15"/>
  <c r="H12" i="15"/>
  <c r="G12" i="15"/>
  <c r="F12" i="15"/>
  <c r="E12" i="15"/>
  <c r="D12" i="15"/>
  <c r="C12" i="15"/>
  <c r="B12" i="15"/>
  <c r="A12" i="15"/>
  <c r="K11" i="15"/>
  <c r="J11" i="15"/>
  <c r="I11" i="15"/>
  <c r="H11" i="15"/>
  <c r="G11" i="15"/>
  <c r="F11" i="15"/>
  <c r="E11" i="15"/>
  <c r="D11" i="15"/>
  <c r="C11" i="15"/>
  <c r="B11" i="15"/>
  <c r="A11" i="15"/>
  <c r="I29" i="10"/>
  <c r="H29" i="10"/>
  <c r="G29" i="10"/>
  <c r="F29" i="10"/>
  <c r="E29" i="10"/>
  <c r="D29" i="10"/>
  <c r="C29" i="10"/>
  <c r="I26" i="10"/>
  <c r="H26" i="10"/>
  <c r="G26" i="10"/>
  <c r="F26" i="10"/>
  <c r="E26" i="10"/>
  <c r="D26" i="10"/>
  <c r="C26" i="10"/>
  <c r="I25" i="10"/>
  <c r="H25" i="10"/>
  <c r="G25" i="10"/>
  <c r="F25" i="10"/>
  <c r="E25" i="10"/>
  <c r="D25" i="10"/>
  <c r="C25" i="10"/>
  <c r="I24" i="10"/>
  <c r="H24" i="10"/>
  <c r="G24" i="10"/>
  <c r="F24" i="10"/>
  <c r="E24" i="10"/>
  <c r="D24" i="10"/>
  <c r="C24" i="10"/>
  <c r="H10" i="10"/>
  <c r="G10" i="10"/>
  <c r="F10" i="10"/>
  <c r="E10" i="10"/>
  <c r="D10" i="10"/>
  <c r="C10" i="10"/>
  <c r="G73" i="7"/>
  <c r="F73" i="7"/>
  <c r="E73" i="7"/>
  <c r="C73" i="7"/>
  <c r="G69" i="7"/>
  <c r="F69" i="7"/>
  <c r="E69" i="7"/>
  <c r="D69" i="7"/>
  <c r="C69" i="7"/>
  <c r="G68" i="7"/>
  <c r="F68" i="7"/>
  <c r="E68" i="7"/>
  <c r="D68" i="7"/>
  <c r="C68" i="7"/>
  <c r="G67" i="7"/>
  <c r="F67" i="7"/>
  <c r="E67" i="7"/>
  <c r="D67" i="7"/>
  <c r="C67" i="7"/>
  <c r="G63" i="7"/>
  <c r="F63" i="7"/>
  <c r="E63" i="7"/>
  <c r="D63" i="7"/>
  <c r="C63" i="7"/>
  <c r="G62" i="7"/>
  <c r="F62" i="7"/>
  <c r="E62" i="7"/>
  <c r="D62" i="7"/>
  <c r="C62" i="7"/>
  <c r="G61" i="7"/>
  <c r="F61" i="7"/>
  <c r="E61" i="7"/>
  <c r="D61" i="7"/>
  <c r="C61" i="7"/>
  <c r="G60" i="7"/>
  <c r="F60" i="7"/>
  <c r="E60" i="7"/>
  <c r="D60" i="7"/>
  <c r="C60" i="7"/>
  <c r="G59" i="7"/>
  <c r="F59" i="7"/>
  <c r="E59" i="7"/>
  <c r="D59" i="7"/>
  <c r="C59" i="7"/>
  <c r="G58" i="7"/>
  <c r="F58" i="7"/>
  <c r="E58" i="7"/>
  <c r="D58" i="7"/>
  <c r="C58" i="7"/>
  <c r="G57" i="7"/>
  <c r="F57" i="7"/>
  <c r="E57" i="7"/>
  <c r="D57" i="7"/>
  <c r="C57" i="7"/>
  <c r="G56" i="7"/>
  <c r="F56" i="7"/>
  <c r="E56" i="7"/>
  <c r="D56" i="7"/>
  <c r="C56" i="7"/>
  <c r="G55" i="7"/>
  <c r="F55" i="7"/>
  <c r="E55" i="7"/>
  <c r="D55" i="7"/>
  <c r="C55" i="7"/>
  <c r="G54" i="7"/>
  <c r="F54" i="7"/>
  <c r="E54" i="7"/>
  <c r="D54" i="7"/>
  <c r="C54" i="7"/>
  <c r="G53" i="7"/>
  <c r="F53" i="7"/>
  <c r="E53" i="7"/>
  <c r="D53" i="7"/>
  <c r="C53" i="7"/>
  <c r="G52" i="7"/>
  <c r="F52" i="7"/>
  <c r="E52" i="7"/>
  <c r="D52" i="7"/>
  <c r="C52" i="7"/>
  <c r="G51" i="7"/>
  <c r="F51" i="7"/>
  <c r="E51" i="7"/>
  <c r="D51" i="7"/>
  <c r="C51" i="7"/>
  <c r="G50" i="7"/>
  <c r="F50" i="7"/>
  <c r="E50" i="7"/>
  <c r="D50" i="7"/>
  <c r="C50" i="7"/>
  <c r="G49" i="7"/>
  <c r="F49" i="7"/>
  <c r="E49" i="7"/>
  <c r="D49" i="7"/>
  <c r="C49" i="7"/>
  <c r="G48" i="7"/>
  <c r="F48" i="7"/>
  <c r="E48" i="7"/>
  <c r="D48" i="7"/>
  <c r="C48" i="7"/>
  <c r="G47" i="7"/>
  <c r="F47" i="7"/>
  <c r="E47" i="7"/>
  <c r="D47" i="7"/>
  <c r="C47" i="7"/>
  <c r="G43" i="7"/>
  <c r="F43" i="7"/>
  <c r="E43" i="7"/>
  <c r="D43" i="7"/>
  <c r="C43" i="7"/>
  <c r="G42" i="7"/>
  <c r="F42" i="7"/>
  <c r="E42" i="7"/>
  <c r="D42" i="7"/>
  <c r="C42" i="7"/>
  <c r="G41" i="7"/>
  <c r="F41" i="7"/>
  <c r="E41" i="7"/>
  <c r="D41" i="7"/>
  <c r="C41" i="7"/>
  <c r="G40" i="7"/>
  <c r="F40" i="7"/>
  <c r="E40" i="7"/>
  <c r="D40" i="7"/>
  <c r="C40" i="7"/>
  <c r="G39" i="7"/>
  <c r="F39" i="7"/>
  <c r="E39" i="7"/>
  <c r="D39" i="7"/>
  <c r="C39" i="7"/>
  <c r="G38" i="7"/>
  <c r="F38" i="7"/>
  <c r="E38" i="7"/>
  <c r="D38" i="7"/>
  <c r="C38" i="7"/>
  <c r="G37" i="7"/>
  <c r="F37" i="7"/>
  <c r="E37" i="7"/>
  <c r="D37" i="7"/>
  <c r="C37" i="7"/>
  <c r="G36" i="7"/>
  <c r="F36" i="7"/>
  <c r="E36" i="7"/>
  <c r="D36" i="7"/>
  <c r="C36" i="7"/>
  <c r="G35" i="7"/>
  <c r="F35" i="7"/>
  <c r="E35" i="7"/>
  <c r="D35" i="7"/>
  <c r="C35" i="7"/>
  <c r="G34" i="7"/>
  <c r="F34" i="7"/>
  <c r="E34" i="7"/>
  <c r="D34" i="7"/>
  <c r="C34" i="7"/>
  <c r="G33" i="7"/>
  <c r="F33" i="7"/>
  <c r="E33" i="7"/>
  <c r="D33" i="7"/>
  <c r="C33" i="7"/>
  <c r="G32" i="7"/>
  <c r="F32" i="7"/>
  <c r="E32" i="7"/>
  <c r="D32" i="7"/>
  <c r="C32" i="7"/>
  <c r="G31" i="7"/>
  <c r="F31" i="7"/>
  <c r="E31" i="7"/>
  <c r="D31" i="7"/>
  <c r="C31" i="7"/>
  <c r="G30" i="7"/>
  <c r="F30" i="7"/>
  <c r="E30" i="7"/>
  <c r="D30" i="7"/>
  <c r="C30" i="7"/>
  <c r="G29" i="7"/>
  <c r="F29" i="7"/>
  <c r="E29" i="7"/>
  <c r="D29" i="7"/>
  <c r="C29" i="7"/>
  <c r="G28" i="7"/>
  <c r="F28" i="7"/>
  <c r="E28" i="7"/>
  <c r="D28" i="7"/>
  <c r="C28" i="7"/>
  <c r="G27" i="7"/>
  <c r="F27" i="7"/>
  <c r="E27" i="7"/>
  <c r="D27" i="7"/>
  <c r="C27" i="7"/>
  <c r="G26" i="7"/>
  <c r="F26" i="7"/>
  <c r="E26" i="7"/>
  <c r="D26" i="7"/>
  <c r="C26" i="7"/>
  <c r="G25" i="7"/>
  <c r="F25" i="7"/>
  <c r="E25" i="7"/>
  <c r="D25" i="7"/>
  <c r="C25" i="7"/>
  <c r="G24" i="7"/>
  <c r="F24" i="7"/>
  <c r="E24" i="7"/>
  <c r="D24" i="7"/>
  <c r="C24" i="7"/>
  <c r="G23" i="7"/>
  <c r="F23" i="7"/>
  <c r="E23" i="7"/>
  <c r="D23" i="7"/>
  <c r="C23" i="7"/>
  <c r="G22" i="7"/>
  <c r="F22" i="7"/>
  <c r="E22" i="7"/>
  <c r="D22" i="7"/>
  <c r="C22" i="7"/>
  <c r="G21" i="7"/>
  <c r="F21" i="7"/>
  <c r="E21" i="7"/>
  <c r="D21" i="7"/>
  <c r="C21" i="7"/>
  <c r="G20" i="7"/>
  <c r="F20" i="7"/>
  <c r="E20" i="7"/>
  <c r="D20" i="7"/>
  <c r="C20" i="7"/>
  <c r="G19" i="7"/>
  <c r="F19" i="7"/>
  <c r="E19" i="7"/>
  <c r="D19" i="7"/>
  <c r="C19" i="7"/>
  <c r="G18" i="7"/>
  <c r="F18" i="7"/>
  <c r="E18" i="7"/>
  <c r="D18" i="7"/>
  <c r="C18" i="7"/>
  <c r="G17" i="7"/>
  <c r="F17" i="7"/>
  <c r="E17" i="7"/>
  <c r="D17" i="7"/>
  <c r="C17" i="7"/>
  <c r="G16" i="7"/>
  <c r="F16" i="7"/>
  <c r="E16" i="7"/>
  <c r="D16" i="7"/>
  <c r="C16" i="7"/>
  <c r="G15" i="7"/>
  <c r="F15" i="7"/>
  <c r="E15" i="7"/>
  <c r="D15" i="7"/>
  <c r="C15" i="7"/>
  <c r="G14" i="7"/>
  <c r="F14" i="7"/>
  <c r="E14" i="7"/>
  <c r="D14" i="7"/>
  <c r="C14" i="7"/>
  <c r="G13" i="7"/>
  <c r="F13" i="7"/>
  <c r="E13" i="7"/>
  <c r="D13" i="7"/>
  <c r="C13" i="7"/>
  <c r="G12" i="7"/>
  <c r="F12" i="7"/>
  <c r="E12" i="7"/>
  <c r="D12" i="7"/>
  <c r="C12" i="7"/>
  <c r="F11" i="3"/>
  <c r="E11" i="3"/>
  <c r="F50" i="61"/>
  <c r="B50" i="61"/>
  <c r="E50" i="61"/>
  <c r="C50" i="61"/>
  <c r="D50" i="61"/>
  <c r="A50" i="61"/>
  <c r="F49" i="61"/>
  <c r="B49" i="61"/>
  <c r="E49" i="61"/>
  <c r="C49" i="61"/>
  <c r="D49" i="61"/>
  <c r="A49" i="61"/>
  <c r="F48" i="61"/>
  <c r="B48" i="61"/>
  <c r="E48" i="61"/>
  <c r="C48" i="61"/>
  <c r="D48" i="61"/>
  <c r="A48" i="61"/>
  <c r="F47" i="61"/>
  <c r="B47" i="61"/>
  <c r="E47" i="61"/>
  <c r="C47" i="61"/>
  <c r="D47" i="61"/>
  <c r="A47" i="61"/>
  <c r="B46" i="61"/>
  <c r="E46" i="61"/>
  <c r="C46" i="61"/>
  <c r="D46" i="61"/>
  <c r="A46" i="61"/>
  <c r="F45" i="61"/>
  <c r="B45" i="61"/>
  <c r="E45" i="61"/>
  <c r="C45" i="61"/>
  <c r="D45" i="61"/>
  <c r="A45" i="61"/>
  <c r="F44" i="61"/>
  <c r="B44" i="61"/>
  <c r="E44" i="61"/>
  <c r="C44" i="61"/>
  <c r="D44" i="61"/>
  <c r="A44" i="61"/>
  <c r="F43" i="61"/>
  <c r="B43" i="61"/>
  <c r="E43" i="61"/>
  <c r="C43" i="61"/>
  <c r="D43" i="61"/>
  <c r="A43" i="61"/>
  <c r="F42" i="61"/>
  <c r="B42" i="61"/>
  <c r="E42" i="61"/>
  <c r="C42" i="61"/>
  <c r="D42" i="61"/>
  <c r="A42" i="61"/>
  <c r="F41" i="61"/>
  <c r="B41" i="61"/>
  <c r="E41" i="61"/>
  <c r="C41" i="61"/>
  <c r="D41" i="61"/>
  <c r="A41" i="61"/>
  <c r="F40" i="61"/>
  <c r="B40" i="61"/>
  <c r="E40" i="61"/>
  <c r="C40" i="61"/>
  <c r="D40" i="61"/>
  <c r="A40" i="61"/>
  <c r="F39" i="61"/>
  <c r="B39" i="61"/>
  <c r="E39" i="61"/>
  <c r="C39" i="61"/>
  <c r="D39" i="61"/>
  <c r="A39" i="61"/>
  <c r="F38" i="61"/>
  <c r="B38" i="61"/>
  <c r="E38" i="61"/>
  <c r="C38" i="61"/>
  <c r="D38" i="61"/>
  <c r="A38" i="61"/>
  <c r="B37" i="61"/>
  <c r="E37" i="61"/>
  <c r="C37" i="61"/>
  <c r="D37" i="61"/>
  <c r="A37" i="61"/>
  <c r="B24" i="61"/>
  <c r="F24" i="61"/>
  <c r="E24" i="61"/>
  <c r="C24" i="61"/>
  <c r="D24" i="61"/>
  <c r="A24" i="61"/>
  <c r="B23" i="61"/>
  <c r="F23" i="61"/>
  <c r="E23" i="61"/>
  <c r="C23" i="61"/>
  <c r="D23" i="61"/>
  <c r="A23" i="61"/>
  <c r="B22" i="61"/>
  <c r="F22" i="61"/>
  <c r="E22" i="61"/>
  <c r="C22" i="61"/>
  <c r="D22" i="61"/>
  <c r="A22" i="61"/>
  <c r="B21" i="61"/>
  <c r="F21" i="61"/>
  <c r="E21" i="61"/>
  <c r="C21" i="61"/>
  <c r="D21" i="61"/>
  <c r="A21" i="61"/>
  <c r="B20" i="61"/>
  <c r="F20" i="61"/>
  <c r="E20" i="61"/>
  <c r="C20" i="61"/>
  <c r="D20" i="61"/>
  <c r="A20" i="61"/>
  <c r="B19" i="61"/>
  <c r="F19" i="61"/>
  <c r="E19" i="61"/>
  <c r="C19" i="61"/>
  <c r="D19" i="61"/>
  <c r="A19" i="61"/>
  <c r="B18" i="61"/>
  <c r="F18" i="61"/>
  <c r="E18" i="61"/>
  <c r="C18" i="61"/>
  <c r="D18" i="61"/>
  <c r="A18" i="61"/>
  <c r="B17" i="61"/>
  <c r="F17" i="61"/>
  <c r="E17" i="61"/>
  <c r="C17" i="61"/>
  <c r="D17" i="61"/>
  <c r="A17" i="61"/>
  <c r="B16" i="61"/>
  <c r="F16" i="61"/>
  <c r="E16" i="61"/>
  <c r="C16" i="61"/>
  <c r="D16" i="61"/>
  <c r="A16" i="61"/>
  <c r="B15" i="61"/>
  <c r="F15" i="61"/>
  <c r="E15" i="61"/>
  <c r="C15" i="61"/>
  <c r="D15" i="61"/>
  <c r="A15" i="61"/>
  <c r="B14" i="61"/>
  <c r="F14" i="61"/>
  <c r="E14" i="61"/>
  <c r="C14" i="61"/>
  <c r="D14" i="61"/>
  <c r="A14" i="61"/>
  <c r="B13" i="61"/>
  <c r="F13" i="61"/>
  <c r="E13" i="61"/>
  <c r="C13" i="61"/>
  <c r="D13" i="61"/>
  <c r="A13" i="61"/>
  <c r="B12" i="61"/>
  <c r="F12" i="61"/>
  <c r="E12" i="61"/>
  <c r="C12" i="61"/>
  <c r="D12" i="61"/>
  <c r="A12" i="61"/>
  <c r="B11" i="61"/>
  <c r="F11" i="61"/>
  <c r="E11" i="61"/>
  <c r="C11" i="61"/>
  <c r="D11" i="61"/>
  <c r="A11" i="61"/>
  <c r="E41" i="2"/>
  <c r="D41" i="2"/>
  <c r="C41" i="2"/>
  <c r="B41" i="2"/>
  <c r="A41" i="2"/>
  <c r="E40" i="2"/>
  <c r="D40" i="2"/>
  <c r="C40" i="2"/>
  <c r="B40" i="2"/>
  <c r="A40" i="2"/>
  <c r="E39" i="2"/>
  <c r="D39" i="2"/>
  <c r="C39" i="2"/>
  <c r="B39" i="2"/>
  <c r="A39" i="2"/>
  <c r="E38" i="2"/>
  <c r="D38" i="2"/>
  <c r="C38" i="2"/>
  <c r="B38" i="2"/>
  <c r="A38" i="2"/>
  <c r="A37" i="2"/>
  <c r="E36" i="2"/>
  <c r="D36" i="2"/>
  <c r="C36" i="2"/>
  <c r="B36" i="2"/>
  <c r="A36" i="2"/>
  <c r="E35" i="2"/>
  <c r="D35" i="2"/>
  <c r="C35" i="2"/>
  <c r="B35" i="2"/>
  <c r="A35" i="2"/>
  <c r="D34" i="2"/>
  <c r="C34" i="2"/>
  <c r="B34" i="2"/>
  <c r="A34" i="2"/>
  <c r="F17" i="2"/>
  <c r="E17" i="2"/>
  <c r="D17" i="2"/>
  <c r="C17" i="2"/>
  <c r="B17" i="2"/>
  <c r="A17" i="2"/>
  <c r="F16" i="2"/>
  <c r="E16" i="2"/>
  <c r="D16" i="2"/>
  <c r="C16" i="2"/>
  <c r="B16" i="2"/>
  <c r="A16" i="2"/>
  <c r="F15" i="2"/>
  <c r="E15" i="2"/>
  <c r="D15" i="2"/>
  <c r="C15" i="2"/>
  <c r="B15" i="2"/>
  <c r="A15" i="2"/>
  <c r="F14" i="2"/>
  <c r="E14" i="2"/>
  <c r="D14" i="2"/>
  <c r="C14" i="2"/>
  <c r="B14" i="2"/>
  <c r="A14" i="2"/>
  <c r="F13" i="2"/>
  <c r="E13" i="2"/>
  <c r="D13" i="2"/>
  <c r="C13" i="2"/>
  <c r="B13" i="2"/>
  <c r="A13" i="2"/>
  <c r="F12" i="2"/>
  <c r="E12" i="2"/>
  <c r="D12" i="2"/>
  <c r="C12" i="2"/>
  <c r="B12" i="2"/>
  <c r="A12" i="2"/>
  <c r="F11" i="2"/>
  <c r="E11" i="2"/>
  <c r="D11" i="2"/>
  <c r="C11" i="2"/>
  <c r="B11" i="2"/>
  <c r="A11" i="2"/>
  <c r="F10" i="2"/>
  <c r="E10" i="2"/>
  <c r="D10" i="2"/>
  <c r="C10" i="2"/>
  <c r="B10" i="2"/>
  <c r="A10" i="2"/>
  <c r="E40" i="38"/>
  <c r="F40" i="38"/>
  <c r="C40" i="38"/>
  <c r="D40" i="38"/>
  <c r="A40" i="38"/>
  <c r="B40" i="38"/>
  <c r="E39" i="38"/>
  <c r="F39" i="38"/>
  <c r="C39" i="38"/>
  <c r="D39" i="38"/>
  <c r="A39" i="38"/>
  <c r="B39" i="38"/>
  <c r="E38" i="38"/>
  <c r="F38" i="38"/>
  <c r="C38" i="38"/>
  <c r="D38" i="38"/>
  <c r="A38" i="38"/>
  <c r="B38" i="38"/>
  <c r="E37" i="38"/>
  <c r="F37" i="38"/>
  <c r="C37" i="38"/>
  <c r="D37" i="38"/>
  <c r="A37" i="38"/>
  <c r="B37" i="38"/>
  <c r="E36" i="38"/>
  <c r="F36" i="38"/>
  <c r="C36" i="38"/>
  <c r="D36" i="38"/>
  <c r="A36" i="38"/>
  <c r="B36" i="38"/>
  <c r="E35" i="38"/>
  <c r="F35" i="38"/>
  <c r="C35" i="38"/>
  <c r="D35" i="38"/>
  <c r="A35" i="38"/>
  <c r="B35" i="38"/>
  <c r="E34" i="38"/>
  <c r="F34" i="38"/>
  <c r="C34" i="38"/>
  <c r="D34" i="38"/>
  <c r="A34" i="38"/>
  <c r="B34" i="38"/>
  <c r="E33" i="38"/>
  <c r="F33" i="38"/>
  <c r="C33" i="38"/>
  <c r="D33" i="38"/>
  <c r="A33" i="38"/>
  <c r="B33" i="38"/>
  <c r="E32" i="38"/>
  <c r="F32" i="38"/>
  <c r="C32" i="38"/>
  <c r="D32" i="38"/>
  <c r="A32" i="38"/>
  <c r="B32" i="38"/>
  <c r="E31" i="38"/>
  <c r="F31" i="38"/>
  <c r="C31" i="38"/>
  <c r="D31" i="38"/>
  <c r="A31" i="38"/>
  <c r="B31" i="38"/>
  <c r="E30" i="38"/>
  <c r="F30" i="38"/>
  <c r="C30" i="38"/>
  <c r="D30" i="38"/>
  <c r="A30" i="38"/>
  <c r="B30" i="38"/>
  <c r="E29" i="38"/>
  <c r="F29" i="38"/>
  <c r="C29" i="38"/>
  <c r="D29" i="38"/>
  <c r="A29" i="38"/>
  <c r="B29" i="38"/>
  <c r="E28" i="38"/>
  <c r="F28" i="38"/>
  <c r="C28" i="38"/>
  <c r="D28" i="38"/>
  <c r="A28" i="38"/>
  <c r="B28" i="38"/>
  <c r="E27" i="38"/>
  <c r="F27" i="38"/>
  <c r="C27" i="38"/>
  <c r="D27" i="38"/>
  <c r="A27" i="38"/>
  <c r="B27" i="38"/>
  <c r="E26" i="38"/>
  <c r="F26" i="38"/>
  <c r="C26" i="38"/>
  <c r="D26" i="38"/>
  <c r="A26" i="38"/>
  <c r="B26" i="38"/>
  <c r="E25" i="38"/>
  <c r="F25" i="38"/>
  <c r="D25" i="38"/>
  <c r="A25" i="38"/>
  <c r="B25" i="38"/>
  <c r="E24" i="38"/>
  <c r="F24" i="38"/>
  <c r="C24" i="38"/>
  <c r="D24" i="38"/>
  <c r="A24" i="38"/>
  <c r="B24" i="38"/>
  <c r="E23" i="38"/>
  <c r="F23" i="38"/>
  <c r="C23" i="38"/>
  <c r="D23" i="38"/>
  <c r="A23" i="38"/>
  <c r="B23" i="38"/>
  <c r="E22" i="38"/>
  <c r="F22" i="38"/>
  <c r="C22" i="38"/>
  <c r="D22" i="38"/>
  <c r="A22" i="38"/>
  <c r="B22" i="38"/>
  <c r="E21" i="38"/>
  <c r="F21" i="38"/>
  <c r="C21" i="38"/>
  <c r="D21" i="38"/>
  <c r="A21" i="38"/>
  <c r="B21" i="38"/>
  <c r="E20" i="38"/>
  <c r="F20" i="38"/>
  <c r="C20" i="38"/>
  <c r="D20" i="38"/>
  <c r="A20" i="38"/>
  <c r="B20" i="38"/>
  <c r="E19" i="38"/>
  <c r="F19" i="38"/>
  <c r="C19" i="38"/>
  <c r="D19" i="38"/>
  <c r="A19" i="38"/>
  <c r="B19" i="38"/>
  <c r="E18" i="38"/>
  <c r="F18" i="38"/>
  <c r="C18" i="38"/>
  <c r="D18" i="38"/>
  <c r="A18" i="38"/>
  <c r="B18" i="38"/>
  <c r="E17" i="38"/>
  <c r="F17" i="38"/>
  <c r="C17" i="38"/>
  <c r="D17" i="38"/>
  <c r="A17" i="38"/>
  <c r="B17" i="38"/>
  <c r="E16" i="38"/>
  <c r="F16" i="38"/>
  <c r="C16" i="38"/>
  <c r="D16" i="38"/>
  <c r="A16" i="38"/>
  <c r="B16" i="38"/>
  <c r="E15" i="38"/>
  <c r="F15" i="38"/>
  <c r="C15" i="38"/>
  <c r="D15" i="38"/>
  <c r="A15" i="38"/>
  <c r="B15" i="38"/>
  <c r="E14" i="38"/>
  <c r="F14" i="38"/>
  <c r="C14" i="38"/>
  <c r="D14" i="38"/>
  <c r="A14" i="38"/>
  <c r="B14" i="38"/>
  <c r="E13" i="38"/>
  <c r="F13" i="38"/>
  <c r="C13" i="38"/>
  <c r="D13" i="38"/>
  <c r="A13" i="38"/>
  <c r="B13" i="38"/>
  <c r="E12" i="38"/>
  <c r="F12" i="38"/>
  <c r="C12" i="38"/>
  <c r="D12" i="38"/>
  <c r="A12" i="38"/>
  <c r="B12" i="38"/>
  <c r="E11" i="38"/>
  <c r="F11" i="38"/>
  <c r="C11" i="38"/>
  <c r="D11" i="38"/>
  <c r="A11" i="38"/>
  <c r="B11" i="38"/>
  <c r="E10" i="38"/>
  <c r="F10" i="38"/>
  <c r="C10" i="38"/>
  <c r="A10" i="38"/>
  <c r="B10" i="38"/>
  <c r="E9" i="38"/>
  <c r="F9" i="38"/>
  <c r="C9" i="38"/>
  <c r="D9" i="38"/>
  <c r="A9" i="38"/>
  <c r="B9" i="38"/>
  <c r="F41" i="2" l="1"/>
  <c r="F38" i="2"/>
  <c r="F34" i="2"/>
  <c r="F35" i="2"/>
  <c r="F39" i="2"/>
  <c r="F36" i="2"/>
  <c r="F48" i="2" s="1"/>
  <c r="F49" i="2" s="1"/>
  <c r="F40" i="2"/>
  <c r="F44" i="2" s="1"/>
  <c r="F45" i="2" s="1"/>
  <c r="I18" i="24"/>
  <c r="H12" i="96"/>
  <c r="H19" i="96"/>
  <c r="H17" i="96"/>
  <c r="H20" i="96"/>
  <c r="H21" i="96"/>
  <c r="H11" i="96"/>
  <c r="H16" i="96"/>
  <c r="H15" i="96"/>
  <c r="H18" i="96"/>
  <c r="H13" i="96"/>
  <c r="H14" i="96"/>
  <c r="H22" i="96"/>
  <c r="L19" i="96"/>
  <c r="L20" i="96"/>
  <c r="L17" i="96"/>
  <c r="L15" i="96"/>
  <c r="L13" i="96"/>
  <c r="L14" i="96"/>
  <c r="L11" i="96"/>
  <c r="L18" i="96"/>
  <c r="L21" i="96"/>
  <c r="L16" i="96"/>
  <c r="L12" i="96"/>
  <c r="L22" i="96"/>
  <c r="J12" i="96"/>
  <c r="J11" i="96"/>
  <c r="J13" i="96"/>
  <c r="J16" i="96"/>
  <c r="J20" i="96"/>
  <c r="J21" i="96"/>
  <c r="J18" i="96"/>
  <c r="J19" i="96"/>
  <c r="J14" i="96"/>
  <c r="J17" i="96"/>
  <c r="J15" i="96"/>
  <c r="J22" i="96"/>
  <c r="I17" i="96"/>
  <c r="I12" i="96"/>
  <c r="I15" i="96"/>
  <c r="I21" i="96"/>
  <c r="I20" i="96"/>
  <c r="I18" i="96"/>
  <c r="I13" i="96"/>
  <c r="I16" i="96"/>
  <c r="I19" i="96"/>
  <c r="I11" i="96"/>
  <c r="I14" i="96"/>
  <c r="I22" i="96"/>
  <c r="K15" i="96"/>
  <c r="K12" i="96"/>
  <c r="K18" i="96"/>
  <c r="K13" i="96"/>
  <c r="K19" i="96"/>
  <c r="K20" i="96"/>
  <c r="K17" i="96"/>
  <c r="K21" i="96"/>
  <c r="K11" i="96"/>
  <c r="K14" i="96"/>
  <c r="K16" i="96"/>
  <c r="K22" i="96"/>
  <c r="A24" i="28"/>
  <c r="A20" i="28"/>
  <c r="B21" i="28"/>
  <c r="B22" i="28" s="1"/>
  <c r="B25" i="28"/>
  <c r="B26" i="28" s="1"/>
  <c r="G13" i="61"/>
  <c r="G17" i="61"/>
  <c r="G19" i="61"/>
  <c r="G23" i="61"/>
  <c r="G12" i="61"/>
  <c r="G14" i="61"/>
  <c r="G16" i="61"/>
  <c r="G18" i="61"/>
  <c r="G20" i="61"/>
  <c r="G22" i="61"/>
  <c r="G24" i="61"/>
  <c r="G11" i="61"/>
  <c r="G15" i="61"/>
  <c r="G21" i="61"/>
  <c r="C11" i="31"/>
  <c r="C17" i="31"/>
  <c r="A19" i="2"/>
  <c r="A47" i="2"/>
  <c r="A43" i="2"/>
  <c r="A23" i="2"/>
  <c r="C25" i="28"/>
  <c r="C26" i="28" s="1"/>
  <c r="B20" i="2"/>
  <c r="B21" i="2" s="1"/>
  <c r="G17" i="2"/>
  <c r="G43" i="32"/>
  <c r="E48" i="28"/>
  <c r="C67" i="28"/>
  <c r="C21" i="28"/>
  <c r="C22" i="28" s="1"/>
  <c r="I16" i="24"/>
  <c r="I17" i="24"/>
  <c r="E42" i="27"/>
  <c r="C42" i="27"/>
  <c r="F43" i="32"/>
  <c r="I17" i="2" l="1"/>
  <c r="D42" i="27"/>
  <c r="F42" i="27"/>
  <c r="G11" i="89"/>
  <c r="E33" i="31"/>
  <c r="E31" i="31"/>
  <c r="E29" i="31"/>
  <c r="E27" i="31"/>
  <c r="E25" i="31"/>
  <c r="E23" i="31"/>
  <c r="E21" i="31"/>
  <c r="E19" i="31"/>
  <c r="E17" i="31"/>
  <c r="E15" i="31"/>
  <c r="E13" i="31"/>
  <c r="C42" i="31"/>
  <c r="D42" i="31" s="1"/>
  <c r="C41" i="31"/>
  <c r="D41" i="31" s="1"/>
  <c r="C40" i="31"/>
  <c r="D40" i="31" s="1"/>
  <c r="C39" i="31"/>
  <c r="D39" i="31" s="1"/>
  <c r="C38" i="31"/>
  <c r="D38" i="31" s="1"/>
  <c r="C37" i="31"/>
  <c r="D37" i="31" s="1"/>
  <c r="C36" i="31"/>
  <c r="D36" i="31" s="1"/>
  <c r="C35" i="31"/>
  <c r="D35" i="31" s="1"/>
  <c r="C34" i="31"/>
  <c r="D34" i="31" s="1"/>
  <c r="C33" i="31"/>
  <c r="D33" i="31" s="1"/>
  <c r="C32" i="31"/>
  <c r="D32" i="31" s="1"/>
  <c r="C31" i="31"/>
  <c r="D31" i="31" s="1"/>
  <c r="C30" i="31"/>
  <c r="D30" i="31" s="1"/>
  <c r="C29" i="31"/>
  <c r="D29" i="31" s="1"/>
  <c r="C28" i="31"/>
  <c r="D28" i="31" s="1"/>
  <c r="C27" i="31"/>
  <c r="D27" i="31" s="1"/>
  <c r="C26" i="31"/>
  <c r="D26" i="31" s="1"/>
  <c r="C25" i="31"/>
  <c r="D25" i="31" s="1"/>
  <c r="C24" i="31"/>
  <c r="D24" i="31" s="1"/>
  <c r="C23" i="31"/>
  <c r="D23" i="31" s="1"/>
  <c r="C22" i="31"/>
  <c r="D22" i="31" s="1"/>
  <c r="C21" i="31"/>
  <c r="D21" i="31" s="1"/>
  <c r="C20" i="31"/>
  <c r="D20" i="31" s="1"/>
  <c r="C19" i="31"/>
  <c r="D19" i="31" s="1"/>
  <c r="C18" i="31"/>
  <c r="D18" i="31" s="1"/>
  <c r="D17" i="31"/>
  <c r="C16" i="31"/>
  <c r="D16" i="31" s="1"/>
  <c r="C15" i="31"/>
  <c r="D15" i="31" s="1"/>
  <c r="C14" i="31"/>
  <c r="D14" i="31" s="1"/>
  <c r="C13" i="31"/>
  <c r="D13" i="31" s="1"/>
  <c r="C12" i="31"/>
  <c r="D12" i="31" s="1"/>
  <c r="G42" i="30"/>
  <c r="D42" i="30"/>
  <c r="F42" i="30"/>
  <c r="H42" i="30"/>
  <c r="E11" i="31"/>
  <c r="F11" i="31"/>
  <c r="C42" i="30"/>
  <c r="E40" i="31"/>
  <c r="E34" i="31"/>
  <c r="E42" i="31"/>
  <c r="E38" i="31"/>
  <c r="E36" i="31"/>
  <c r="E32" i="31"/>
  <c r="E30" i="31"/>
  <c r="E28" i="31"/>
  <c r="E26" i="31"/>
  <c r="E24" i="31"/>
  <c r="E22" i="31"/>
  <c r="E20" i="31"/>
  <c r="E18" i="31"/>
  <c r="E16" i="31"/>
  <c r="E14" i="31"/>
  <c r="E12" i="31"/>
  <c r="E42" i="30"/>
  <c r="E41" i="31"/>
  <c r="F41" i="31"/>
  <c r="E39" i="31"/>
  <c r="F39" i="31"/>
  <c r="E37" i="31"/>
  <c r="F37" i="31"/>
  <c r="E35" i="31"/>
  <c r="F35" i="31"/>
  <c r="F33" i="31"/>
  <c r="F31" i="31"/>
  <c r="F29" i="31"/>
  <c r="F27" i="31"/>
  <c r="F25" i="31"/>
  <c r="F23" i="31"/>
  <c r="F21" i="31"/>
  <c r="F19" i="31"/>
  <c r="F17" i="31"/>
  <c r="F15" i="31"/>
  <c r="F13" i="31"/>
  <c r="D11" i="31"/>
  <c r="F42" i="31"/>
  <c r="F40" i="31"/>
  <c r="F38" i="31"/>
  <c r="F36" i="31"/>
  <c r="F34" i="31"/>
  <c r="F32" i="31"/>
  <c r="F30" i="31"/>
  <c r="F28" i="31"/>
  <c r="F26" i="31"/>
  <c r="F24" i="31"/>
  <c r="F22" i="31"/>
  <c r="F20" i="31"/>
  <c r="F18" i="31"/>
  <c r="F16" i="31"/>
  <c r="F14" i="31"/>
  <c r="F12" i="31"/>
  <c r="E43" i="32"/>
  <c r="E43" i="31" l="1"/>
  <c r="F43" i="31"/>
  <c r="C43" i="31"/>
  <c r="D43" i="31" s="1"/>
  <c r="D38" i="89"/>
  <c r="C38" i="89"/>
  <c r="B38" i="89"/>
  <c r="E38" i="89"/>
  <c r="F38" i="89"/>
  <c r="D25" i="89"/>
  <c r="G19" i="89"/>
  <c r="G23" i="89"/>
  <c r="G24" i="89"/>
  <c r="G12" i="89"/>
  <c r="G16" i="89"/>
  <c r="G20" i="89"/>
  <c r="B25" i="89"/>
  <c r="F25" i="89"/>
  <c r="E25" i="89"/>
  <c r="G13" i="89"/>
  <c r="G17" i="89"/>
  <c r="G21" i="89"/>
  <c r="C25" i="89"/>
  <c r="G14" i="89"/>
  <c r="G15" i="89"/>
  <c r="G18" i="89"/>
  <c r="G22" i="89"/>
  <c r="G10" i="89"/>
  <c r="G14" i="23"/>
  <c r="D35" i="18"/>
  <c r="E34" i="23"/>
  <c r="E22" i="23"/>
  <c r="D14" i="18"/>
  <c r="E17" i="23"/>
  <c r="C20" i="18"/>
  <c r="F18" i="23"/>
  <c r="C27" i="23"/>
  <c r="D10" i="40"/>
  <c r="D28" i="23"/>
  <c r="F21" i="23"/>
  <c r="F35" i="23"/>
  <c r="F34" i="23"/>
  <c r="G35" i="23"/>
  <c r="E35" i="23"/>
  <c r="D17" i="40"/>
  <c r="D23" i="18"/>
  <c r="B14" i="16"/>
  <c r="C46" i="16"/>
  <c r="C37" i="23"/>
  <c r="C39" i="23"/>
  <c r="B26" i="18"/>
  <c r="E37" i="23"/>
  <c r="D24" i="23"/>
  <c r="E18" i="23"/>
  <c r="D37" i="18"/>
  <c r="F29" i="23"/>
  <c r="D26" i="18"/>
  <c r="B12" i="40"/>
  <c r="E13" i="40"/>
  <c r="G19" i="23"/>
  <c r="F32" i="23"/>
  <c r="C19" i="23"/>
  <c r="B18" i="40"/>
  <c r="G20" i="23"/>
  <c r="G36" i="23"/>
  <c r="E12" i="40"/>
  <c r="G21" i="23"/>
  <c r="C40" i="18"/>
  <c r="F24" i="23"/>
  <c r="D30" i="18"/>
  <c r="C27" i="18"/>
  <c r="F15" i="23"/>
  <c r="B35" i="18"/>
  <c r="C41" i="23"/>
  <c r="B45" i="16"/>
  <c r="B35" i="16"/>
  <c r="B13" i="16"/>
  <c r="D41" i="18"/>
  <c r="B14" i="40"/>
  <c r="B11" i="18"/>
  <c r="B23" i="18"/>
  <c r="G13" i="23"/>
  <c r="C27" i="16"/>
  <c r="B46" i="16"/>
  <c r="E40" i="23"/>
  <c r="D33" i="23"/>
  <c r="B21" i="18"/>
  <c r="C18" i="23"/>
  <c r="F42" i="23"/>
  <c r="C36" i="16"/>
  <c r="B36" i="16"/>
  <c r="C35" i="23"/>
  <c r="B11" i="16"/>
  <c r="G12" i="23"/>
  <c r="B36" i="18"/>
  <c r="E16" i="40"/>
  <c r="C11" i="16"/>
  <c r="G31" i="23"/>
  <c r="B22" i="16"/>
  <c r="B15" i="40"/>
  <c r="D29" i="23"/>
  <c r="C35" i="16"/>
  <c r="D27" i="23"/>
  <c r="C34" i="23"/>
  <c r="D25" i="23"/>
  <c r="G30" i="23"/>
  <c r="D16" i="23"/>
  <c r="D40" i="23"/>
  <c r="D14" i="23"/>
  <c r="C31" i="23"/>
  <c r="C10" i="18"/>
  <c r="D40" i="18"/>
  <c r="D42" i="18"/>
  <c r="B37" i="16"/>
  <c r="C47" i="16"/>
  <c r="C16" i="23"/>
  <c r="F26" i="23"/>
  <c r="E18" i="40"/>
  <c r="D14" i="40"/>
  <c r="C29" i="18"/>
  <c r="B37" i="18"/>
  <c r="E28" i="23"/>
  <c r="E30" i="23"/>
  <c r="F38" i="23"/>
  <c r="D12" i="18"/>
  <c r="D13" i="23"/>
  <c r="G28" i="23"/>
  <c r="E15" i="23"/>
  <c r="D15" i="18"/>
  <c r="C43" i="23"/>
  <c r="G39" i="23"/>
  <c r="F28" i="23"/>
  <c r="G18" i="23"/>
  <c r="C23" i="18"/>
  <c r="C12" i="40"/>
  <c r="B10" i="40"/>
  <c r="C14" i="23"/>
  <c r="D12" i="23"/>
  <c r="C17" i="23"/>
  <c r="F37" i="23"/>
  <c r="B21" i="16"/>
  <c r="C14" i="40"/>
  <c r="C32" i="23"/>
  <c r="C41" i="18"/>
  <c r="D31" i="18"/>
  <c r="G43" i="23"/>
  <c r="F27" i="23"/>
  <c r="D16" i="40"/>
  <c r="F20" i="23"/>
  <c r="G15" i="23"/>
  <c r="E25" i="23"/>
  <c r="B28" i="16"/>
  <c r="C24" i="23"/>
  <c r="C15" i="16"/>
  <c r="F16" i="23"/>
  <c r="D38" i="23"/>
  <c r="B31" i="18"/>
  <c r="E42" i="23"/>
  <c r="E39" i="23"/>
  <c r="F39" i="23"/>
  <c r="C26" i="23"/>
  <c r="G22" i="23"/>
  <c r="B39" i="16"/>
  <c r="B20" i="16"/>
  <c r="F40" i="23"/>
  <c r="B29" i="18"/>
  <c r="C14" i="16"/>
  <c r="D37" i="23"/>
  <c r="G41" i="23"/>
  <c r="E17" i="40"/>
  <c r="B28" i="18"/>
  <c r="C33" i="23"/>
  <c r="D23" i="23"/>
  <c r="B27" i="16"/>
  <c r="C17" i="18"/>
  <c r="F25" i="23"/>
  <c r="G38" i="23"/>
  <c r="C38" i="16"/>
  <c r="B16" i="16"/>
  <c r="E23" i="23"/>
  <c r="B39" i="18"/>
  <c r="C10" i="16"/>
  <c r="E11" i="40"/>
  <c r="C12" i="18"/>
  <c r="G34" i="23"/>
  <c r="F13" i="23"/>
  <c r="D22" i="23"/>
  <c r="F43" i="23"/>
  <c r="B13" i="40"/>
  <c r="C21" i="23"/>
  <c r="C16" i="40"/>
  <c r="C38" i="18"/>
  <c r="B16" i="40"/>
  <c r="C18" i="40"/>
  <c r="E13" i="23"/>
  <c r="C14" i="18"/>
  <c r="D15" i="40"/>
  <c r="C21" i="16"/>
  <c r="B27" i="18"/>
  <c r="G42" i="23"/>
  <c r="G29" i="23"/>
  <c r="D21" i="23"/>
  <c r="B40" i="18"/>
  <c r="B10" i="18"/>
  <c r="B15" i="18"/>
  <c r="E43" i="23"/>
  <c r="D27" i="18"/>
  <c r="C20" i="23"/>
  <c r="B29" i="16"/>
  <c r="C11" i="18"/>
  <c r="D41" i="23"/>
  <c r="C28" i="23"/>
  <c r="D15" i="23"/>
  <c r="C20" i="16"/>
  <c r="E14" i="23"/>
  <c r="C21" i="18"/>
  <c r="D12" i="40"/>
  <c r="E33" i="23"/>
  <c r="C45" i="16"/>
  <c r="E31" i="23"/>
  <c r="C10" i="40"/>
  <c r="D18" i="23"/>
  <c r="E10" i="40"/>
  <c r="D21" i="18"/>
  <c r="C26" i="18"/>
  <c r="F19" i="23"/>
  <c r="C36" i="23"/>
  <c r="D19" i="23"/>
  <c r="C37" i="16"/>
  <c r="E36" i="23"/>
  <c r="D39" i="23"/>
  <c r="B20" i="18"/>
  <c r="C40" i="16"/>
  <c r="E12" i="23"/>
  <c r="B10" i="17"/>
  <c r="C11" i="17"/>
  <c r="C43" i="32"/>
  <c r="C23" i="23"/>
  <c r="C31" i="16"/>
  <c r="E21" i="23"/>
  <c r="B44" i="18"/>
  <c r="G17" i="23"/>
  <c r="F41" i="23"/>
  <c r="D10" i="18"/>
  <c r="C28" i="18"/>
  <c r="D42" i="23"/>
  <c r="D28" i="18"/>
  <c r="E14" i="40"/>
  <c r="B11" i="40"/>
  <c r="C15" i="40"/>
  <c r="F22" i="23"/>
  <c r="E38" i="23"/>
  <c r="C44" i="18"/>
  <c r="C37" i="18"/>
  <c r="B13" i="18"/>
  <c r="B42" i="18"/>
  <c r="C13" i="23"/>
  <c r="B41" i="16"/>
  <c r="C29" i="23"/>
  <c r="D16" i="18"/>
  <c r="B22" i="18"/>
  <c r="D32" i="18"/>
  <c r="B38" i="18"/>
  <c r="C17" i="40"/>
  <c r="D36" i="23"/>
  <c r="F14" i="23"/>
  <c r="D13" i="40"/>
  <c r="B17" i="40"/>
  <c r="D39" i="18"/>
  <c r="C40" i="23"/>
  <c r="C32" i="18"/>
  <c r="C38" i="23"/>
  <c r="B32" i="18"/>
  <c r="B38" i="16"/>
  <c r="B47" i="16"/>
  <c r="G24" i="23"/>
  <c r="B16" i="18"/>
  <c r="C14" i="17"/>
  <c r="B12" i="17"/>
  <c r="C13" i="17"/>
  <c r="C11" i="40"/>
  <c r="G32" i="23"/>
  <c r="B12" i="18"/>
  <c r="C26" i="16"/>
  <c r="B10" i="16"/>
  <c r="E20" i="23"/>
  <c r="D31" i="23"/>
  <c r="C35" i="18"/>
  <c r="E16" i="23"/>
  <c r="C42" i="23"/>
  <c r="G23" i="23"/>
  <c r="C30" i="16"/>
  <c r="F12" i="23"/>
  <c r="F17" i="23"/>
  <c r="C13" i="40"/>
  <c r="E29" i="23"/>
  <c r="C15" i="23"/>
  <c r="C39" i="18"/>
  <c r="C29" i="16"/>
  <c r="C12" i="16"/>
  <c r="B14" i="18"/>
  <c r="C36" i="18"/>
  <c r="C12" i="17"/>
  <c r="B13" i="17"/>
  <c r="C43" i="11"/>
  <c r="E41" i="11"/>
  <c r="D28" i="11"/>
  <c r="D30" i="11"/>
  <c r="E35" i="11"/>
  <c r="E19" i="11"/>
  <c r="C15" i="11"/>
  <c r="E31" i="11"/>
  <c r="D32" i="11"/>
  <c r="D21" i="11"/>
  <c r="E18" i="11"/>
  <c r="E12" i="11"/>
  <c r="E26" i="11"/>
  <c r="D29" i="11"/>
  <c r="C28" i="11"/>
  <c r="C27" i="11"/>
  <c r="D40" i="11"/>
  <c r="E14" i="11"/>
  <c r="C23" i="11"/>
  <c r="C25" i="11"/>
  <c r="D27" i="11"/>
  <c r="E16" i="11"/>
  <c r="C16" i="11"/>
  <c r="C14" i="9"/>
  <c r="C25" i="9"/>
  <c r="E23" i="9"/>
  <c r="E29" i="9"/>
  <c r="D13" i="9"/>
  <c r="E12" i="9"/>
  <c r="E38" i="9"/>
  <c r="D17" i="9"/>
  <c r="D38" i="9"/>
  <c r="E21" i="9"/>
  <c r="C24" i="9"/>
  <c r="C30" i="9"/>
  <c r="C20" i="9"/>
  <c r="E14" i="9"/>
  <c r="D40" i="9"/>
  <c r="C13" i="9"/>
  <c r="D16" i="9"/>
  <c r="C29" i="9"/>
  <c r="C41" i="9"/>
  <c r="C31" i="9"/>
  <c r="D26" i="9"/>
  <c r="D34" i="9"/>
  <c r="D30" i="9"/>
  <c r="E28" i="9"/>
  <c r="C15" i="9"/>
  <c r="C12" i="23"/>
  <c r="E26" i="23"/>
  <c r="E41" i="23"/>
  <c r="E24" i="23"/>
  <c r="C13" i="16"/>
  <c r="D35" i="23"/>
  <c r="D11" i="40"/>
  <c r="D30" i="23"/>
  <c r="D17" i="23"/>
  <c r="B14" i="17"/>
  <c r="C37" i="11"/>
  <c r="D14" i="11"/>
  <c r="E17" i="11"/>
  <c r="E42" i="11"/>
  <c r="E33" i="11"/>
  <c r="C14" i="11"/>
  <c r="D35" i="11"/>
  <c r="E27" i="9"/>
  <c r="C26" i="9"/>
  <c r="C43" i="9"/>
  <c r="D28" i="9"/>
  <c r="E16" i="9"/>
  <c r="D23" i="9"/>
  <c r="E43" i="9"/>
  <c r="E22" i="9"/>
  <c r="C36" i="9"/>
  <c r="G37" i="23"/>
  <c r="C16" i="16"/>
  <c r="C15" i="18"/>
  <c r="C13" i="18"/>
  <c r="C31" i="18"/>
  <c r="B12" i="16"/>
  <c r="G27" i="23"/>
  <c r="C22" i="16"/>
  <c r="F33" i="23"/>
  <c r="G25" i="23"/>
  <c r="B17" i="18"/>
  <c r="D18" i="40"/>
  <c r="C39" i="16"/>
  <c r="B30" i="18"/>
  <c r="F30" i="23"/>
  <c r="G16" i="23"/>
  <c r="B15" i="16"/>
  <c r="G26" i="23"/>
  <c r="D29" i="18"/>
  <c r="C42" i="18"/>
  <c r="B26" i="16"/>
  <c r="C10" i="17"/>
  <c r="D43" i="32"/>
  <c r="D24" i="11"/>
  <c r="E39" i="11"/>
  <c r="C39" i="11"/>
  <c r="E43" i="11"/>
  <c r="C40" i="11"/>
  <c r="D36" i="11"/>
  <c r="C24" i="11"/>
  <c r="C22" i="11"/>
  <c r="D33" i="11"/>
  <c r="D37" i="11"/>
  <c r="C31" i="11"/>
  <c r="D26" i="11"/>
  <c r="E40" i="11"/>
  <c r="C35" i="11"/>
  <c r="E34" i="11"/>
  <c r="E32" i="11"/>
  <c r="D19" i="11"/>
  <c r="E37" i="11"/>
  <c r="C33" i="11"/>
  <c r="C26" i="11"/>
  <c r="E24" i="11"/>
  <c r="C41" i="11"/>
  <c r="C38" i="11"/>
  <c r="D18" i="11"/>
  <c r="C21" i="9"/>
  <c r="C12" i="9"/>
  <c r="C23" i="9"/>
  <c r="E19" i="9"/>
  <c r="D37" i="9"/>
  <c r="D20" i="9"/>
  <c r="D39" i="9"/>
  <c r="D25" i="9"/>
  <c r="E17" i="9"/>
  <c r="C37" i="9"/>
  <c r="E30" i="9"/>
  <c r="C16" i="9"/>
  <c r="E24" i="9"/>
  <c r="E42" i="9"/>
  <c r="D42" i="9"/>
  <c r="D43" i="9"/>
  <c r="E34" i="9"/>
  <c r="D41" i="9"/>
  <c r="E39" i="9"/>
  <c r="E15" i="9"/>
  <c r="E41" i="9"/>
  <c r="D31" i="9"/>
  <c r="C27" i="9"/>
  <c r="D26" i="23"/>
  <c r="D43" i="23"/>
  <c r="B31" i="16"/>
  <c r="C42" i="11"/>
  <c r="D43" i="11"/>
  <c r="E25" i="11"/>
  <c r="E27" i="11"/>
  <c r="E30" i="11"/>
  <c r="C29" i="11"/>
  <c r="E13" i="11"/>
  <c r="C21" i="11"/>
  <c r="C19" i="9"/>
  <c r="C38" i="9"/>
  <c r="C34" i="9"/>
  <c r="D24" i="9"/>
  <c r="E40" i="9"/>
  <c r="E32" i="9"/>
  <c r="E36" i="9"/>
  <c r="F36" i="23"/>
  <c r="D44" i="18"/>
  <c r="C16" i="18"/>
  <c r="D20" i="18"/>
  <c r="C22" i="23"/>
  <c r="F23" i="23"/>
  <c r="G33" i="23"/>
  <c r="D20" i="23"/>
  <c r="D36" i="18"/>
  <c r="C22" i="18"/>
  <c r="E32" i="23"/>
  <c r="E19" i="23"/>
  <c r="E27" i="23"/>
  <c r="C30" i="18"/>
  <c r="G40" i="23"/>
  <c r="D22" i="18"/>
  <c r="D11" i="18"/>
  <c r="B40" i="16"/>
  <c r="B41" i="18"/>
  <c r="D13" i="18"/>
  <c r="D38" i="18"/>
  <c r="C25" i="23"/>
  <c r="B11" i="17"/>
  <c r="E22" i="11"/>
  <c r="D15" i="11"/>
  <c r="E21" i="11"/>
  <c r="E29" i="11"/>
  <c r="D20" i="11"/>
  <c r="C19" i="11"/>
  <c r="D17" i="11"/>
  <c r="D23" i="11"/>
  <c r="E23" i="11"/>
  <c r="C13" i="11"/>
  <c r="E20" i="11"/>
  <c r="C32" i="11"/>
  <c r="D16" i="11"/>
  <c r="D22" i="11"/>
  <c r="D42" i="11"/>
  <c r="D38" i="11"/>
  <c r="D25" i="11"/>
  <c r="D34" i="11"/>
  <c r="D12" i="11"/>
  <c r="D13" i="11"/>
  <c r="C20" i="11"/>
  <c r="D31" i="11"/>
  <c r="D39" i="11"/>
  <c r="E38" i="11"/>
  <c r="C22" i="9"/>
  <c r="D19" i="9"/>
  <c r="C32" i="9"/>
  <c r="D14" i="9"/>
  <c r="C39" i="9"/>
  <c r="E31" i="9"/>
  <c r="E13" i="9"/>
  <c r="D21" i="9"/>
  <c r="E20" i="9"/>
  <c r="D36" i="9"/>
  <c r="C18" i="9"/>
  <c r="E37" i="9"/>
  <c r="D32" i="9"/>
  <c r="D22" i="9"/>
  <c r="E26" i="9"/>
  <c r="D12" i="9"/>
  <c r="E25" i="9"/>
  <c r="D29" i="9"/>
  <c r="D15" i="9"/>
  <c r="E18" i="9"/>
  <c r="C42" i="9"/>
  <c r="C40" i="9"/>
  <c r="E33" i="9"/>
  <c r="D18" i="9"/>
  <c r="C41" i="16"/>
  <c r="E15" i="40"/>
  <c r="B30" i="16"/>
  <c r="C28" i="16"/>
  <c r="F31" i="23"/>
  <c r="D32" i="23"/>
  <c r="C30" i="23"/>
  <c r="D34" i="23"/>
  <c r="C34" i="11"/>
  <c r="C17" i="11"/>
  <c r="C36" i="11"/>
  <c r="E36" i="11"/>
  <c r="C30" i="11"/>
  <c r="C18" i="11"/>
  <c r="E28" i="11"/>
  <c r="D41" i="11"/>
  <c r="D27" i="9"/>
  <c r="C28" i="9"/>
  <c r="D35" i="9"/>
  <c r="E35" i="9"/>
  <c r="D33" i="9"/>
  <c r="C17" i="9"/>
  <c r="C33" i="9"/>
  <c r="C35" i="9"/>
  <c r="C51" i="8"/>
  <c r="F18" i="8"/>
  <c r="E49" i="8"/>
  <c r="C31" i="8"/>
  <c r="H30" i="8"/>
  <c r="I21" i="8"/>
  <c r="D57" i="8"/>
  <c r="I22" i="8"/>
  <c r="E12" i="8"/>
  <c r="E15" i="8"/>
  <c r="E13" i="8"/>
  <c r="C34" i="8"/>
  <c r="D29" i="8"/>
  <c r="C50" i="8"/>
  <c r="E34" i="8"/>
  <c r="E67" i="8"/>
  <c r="F15" i="8"/>
  <c r="E25" i="8"/>
  <c r="E18" i="8"/>
  <c r="F68" i="8"/>
  <c r="E72" i="8"/>
  <c r="D32" i="8"/>
  <c r="C21" i="8"/>
  <c r="F51" i="8"/>
  <c r="I55" i="8"/>
  <c r="G34" i="8"/>
  <c r="C22" i="8"/>
  <c r="I14" i="8"/>
  <c r="E40" i="8"/>
  <c r="F69" i="8"/>
  <c r="I32" i="8"/>
  <c r="E35" i="8"/>
  <c r="D59" i="8"/>
  <c r="H49" i="8"/>
  <c r="E69" i="8"/>
  <c r="G13" i="8"/>
  <c r="H35" i="8"/>
  <c r="D40" i="8"/>
  <c r="D62" i="8"/>
  <c r="E55" i="8"/>
  <c r="F36" i="8"/>
  <c r="H40" i="8"/>
  <c r="F62" i="8"/>
  <c r="H58" i="8"/>
  <c r="H19" i="8"/>
  <c r="C36" i="8"/>
  <c r="C18" i="8"/>
  <c r="H55" i="8"/>
  <c r="F35" i="8"/>
  <c r="G23" i="8"/>
  <c r="D33" i="8"/>
  <c r="H72" i="8"/>
  <c r="H13" i="8"/>
  <c r="H48" i="8"/>
  <c r="D54" i="8"/>
  <c r="G37" i="8"/>
  <c r="I50" i="8"/>
  <c r="I57" i="8"/>
  <c r="E51" i="8"/>
  <c r="C49" i="8"/>
  <c r="E61" i="8"/>
  <c r="C47" i="8"/>
  <c r="E62" i="8"/>
  <c r="G53" i="8"/>
  <c r="H69" i="8"/>
  <c r="F53" i="8"/>
  <c r="G38" i="8"/>
  <c r="E33" i="8"/>
  <c r="C24" i="8"/>
  <c r="F29" i="8"/>
  <c r="F22" i="8"/>
  <c r="E36" i="8"/>
  <c r="I27" i="8"/>
  <c r="F23" i="8"/>
  <c r="E68" i="8"/>
  <c r="D35" i="8"/>
  <c r="F50" i="8"/>
  <c r="E20" i="8"/>
  <c r="F28" i="8"/>
  <c r="H38" i="8"/>
  <c r="H33" i="8"/>
  <c r="I20" i="8"/>
  <c r="D53" i="8"/>
  <c r="F56" i="8"/>
  <c r="E58" i="8"/>
  <c r="I54" i="8"/>
  <c r="D27" i="8"/>
  <c r="I38" i="8"/>
  <c r="D55" i="8"/>
  <c r="F37" i="8"/>
  <c r="C62" i="8"/>
  <c r="C41" i="8"/>
  <c r="D23" i="8"/>
  <c r="C40" i="8"/>
  <c r="F49" i="8"/>
  <c r="H61" i="8"/>
  <c r="H42" i="8"/>
  <c r="D22" i="8"/>
  <c r="H60" i="8"/>
  <c r="E56" i="8"/>
  <c r="D61" i="8"/>
  <c r="D36" i="8"/>
  <c r="I31" i="8"/>
  <c r="C67" i="8"/>
  <c r="E27" i="8"/>
  <c r="E38" i="8"/>
  <c r="G24" i="8"/>
  <c r="I69" i="8"/>
  <c r="E23" i="8"/>
  <c r="I67" i="8"/>
  <c r="E17" i="8"/>
  <c r="I34" i="8"/>
  <c r="D51" i="8"/>
  <c r="F39" i="8"/>
  <c r="I40" i="8"/>
  <c r="H67" i="8"/>
  <c r="I24" i="8"/>
  <c r="F27" i="8"/>
  <c r="E39" i="8"/>
  <c r="C35" i="8"/>
  <c r="E21" i="8"/>
  <c r="F13" i="8"/>
  <c r="H32" i="8"/>
  <c r="H25" i="8"/>
  <c r="G33" i="8"/>
  <c r="E47" i="8"/>
  <c r="H27" i="8"/>
  <c r="C53" i="8"/>
  <c r="H17" i="8"/>
  <c r="E48" i="8"/>
  <c r="G60" i="8"/>
  <c r="G55" i="8"/>
  <c r="D58" i="8"/>
  <c r="H41" i="8"/>
  <c r="I37" i="8"/>
  <c r="C19" i="8"/>
  <c r="E52" i="8"/>
  <c r="C42" i="8"/>
  <c r="H21" i="8"/>
  <c r="D49" i="8"/>
  <c r="G62" i="8"/>
  <c r="H29" i="8"/>
  <c r="F58" i="8"/>
  <c r="F33" i="8"/>
  <c r="F19" i="8"/>
  <c r="E54" i="8"/>
  <c r="G29" i="8"/>
  <c r="C14" i="8"/>
  <c r="D38" i="8"/>
  <c r="I30" i="8"/>
  <c r="D56" i="8"/>
  <c r="F12" i="8"/>
  <c r="E41" i="8"/>
  <c r="C61" i="8"/>
  <c r="E14" i="8"/>
  <c r="G51" i="8"/>
  <c r="D19" i="8"/>
  <c r="F47" i="8"/>
  <c r="D31" i="8"/>
  <c r="F60" i="8"/>
  <c r="G32" i="8"/>
  <c r="F55" i="8"/>
  <c r="C28" i="8"/>
  <c r="C25" i="8"/>
  <c r="H28" i="8"/>
  <c r="C43" i="8"/>
  <c r="E19" i="8"/>
  <c r="G42" i="8"/>
  <c r="G31" i="8"/>
  <c r="F57" i="8"/>
  <c r="I23" i="8"/>
  <c r="F31" i="8"/>
  <c r="D34" i="8"/>
  <c r="H12" i="8"/>
  <c r="F24" i="8"/>
  <c r="E57" i="8"/>
  <c r="G57" i="8"/>
  <c r="G41" i="8"/>
  <c r="D16" i="8"/>
  <c r="G21" i="8"/>
  <c r="F52" i="8"/>
  <c r="D25" i="8"/>
  <c r="E50" i="8"/>
  <c r="E53" i="8"/>
  <c r="D69" i="8"/>
  <c r="H22" i="8"/>
  <c r="G20" i="8"/>
  <c r="G69" i="8"/>
  <c r="G18" i="8"/>
  <c r="G40" i="8"/>
  <c r="C54" i="8"/>
  <c r="E63" i="8"/>
  <c r="C30" i="8"/>
  <c r="F41" i="8"/>
  <c r="H68" i="8"/>
  <c r="I19" i="8"/>
  <c r="I13" i="8"/>
  <c r="H20" i="8"/>
  <c r="E37" i="8"/>
  <c r="E29" i="8"/>
  <c r="G48" i="8"/>
  <c r="D41" i="8"/>
  <c r="I33" i="8"/>
  <c r="H43" i="8"/>
  <c r="C12" i="8"/>
  <c r="C17" i="8"/>
  <c r="G67" i="8"/>
  <c r="I59" i="8"/>
  <c r="D60" i="8"/>
  <c r="G39" i="8"/>
  <c r="D42" i="8"/>
  <c r="G19" i="8"/>
  <c r="G12" i="8"/>
  <c r="D21" i="8"/>
  <c r="E31" i="8"/>
  <c r="G59" i="8"/>
  <c r="D20" i="8"/>
  <c r="I18" i="8"/>
  <c r="I62" i="8"/>
  <c r="H52" i="8"/>
  <c r="D24" i="8"/>
  <c r="F20" i="8"/>
  <c r="I16" i="8"/>
  <c r="D12" i="8"/>
  <c r="I58" i="8"/>
  <c r="D26" i="8"/>
  <c r="C33" i="8"/>
  <c r="G63" i="8"/>
  <c r="H53" i="8"/>
  <c r="F54" i="8"/>
  <c r="F16" i="8"/>
  <c r="G28" i="8"/>
  <c r="G30" i="8"/>
  <c r="F30" i="8"/>
  <c r="C20" i="8"/>
  <c r="D14" i="8"/>
  <c r="H59" i="8"/>
  <c r="C29" i="8"/>
  <c r="C52" i="8"/>
  <c r="D50" i="8"/>
  <c r="I43" i="8"/>
  <c r="F14" i="8"/>
  <c r="H23" i="8"/>
  <c r="C48" i="8"/>
  <c r="E59" i="8"/>
  <c r="H51" i="8"/>
  <c r="H39" i="8"/>
  <c r="I26" i="8"/>
  <c r="F61" i="8"/>
  <c r="H31" i="8"/>
  <c r="C57" i="8"/>
  <c r="D18" i="8"/>
  <c r="D43" i="8"/>
  <c r="C58" i="8"/>
  <c r="H47" i="8"/>
  <c r="C38" i="8"/>
  <c r="F26" i="8"/>
  <c r="G22" i="8"/>
  <c r="F38" i="8"/>
  <c r="C56" i="8"/>
  <c r="H16" i="8"/>
  <c r="C27" i="8"/>
  <c r="C72" i="8"/>
  <c r="G14" i="8"/>
  <c r="C68" i="8"/>
  <c r="H62" i="8"/>
  <c r="F25" i="8"/>
  <c r="G43" i="8"/>
  <c r="H34" i="8"/>
  <c r="C26" i="8"/>
  <c r="F48" i="8"/>
  <c r="I56" i="8"/>
  <c r="G35" i="8"/>
  <c r="I41" i="8"/>
  <c r="I51" i="8"/>
  <c r="C55" i="8"/>
  <c r="D47" i="8"/>
  <c r="I15" i="8"/>
  <c r="I17" i="8"/>
  <c r="E22" i="8"/>
  <c r="I47" i="8"/>
  <c r="C60" i="8"/>
  <c r="G16" i="8"/>
  <c r="G72" i="8"/>
  <c r="E30" i="8"/>
  <c r="I36" i="8"/>
  <c r="F63" i="8"/>
  <c r="C23" i="8"/>
  <c r="F32" i="8"/>
  <c r="D63" i="8"/>
  <c r="G68" i="8"/>
  <c r="D37" i="8"/>
  <c r="C13" i="8"/>
  <c r="E28" i="8"/>
  <c r="D39" i="8"/>
  <c r="D72" i="8"/>
  <c r="D28" i="8"/>
  <c r="D67" i="8"/>
  <c r="I61" i="8"/>
  <c r="I28" i="8"/>
  <c r="G61" i="8"/>
  <c r="H57" i="8"/>
  <c r="D15" i="8"/>
  <c r="G54" i="8"/>
  <c r="I52" i="8"/>
  <c r="I29" i="8"/>
  <c r="G27" i="8"/>
  <c r="G26" i="8"/>
  <c r="F40" i="8"/>
  <c r="I60" i="8"/>
  <c r="E42" i="8"/>
  <c r="D52" i="8"/>
  <c r="E24" i="8"/>
  <c r="C69" i="8"/>
  <c r="I63" i="8"/>
  <c r="G52" i="8"/>
  <c r="H24" i="8"/>
  <c r="G36" i="8"/>
  <c r="C32" i="8"/>
  <c r="C16" i="8"/>
  <c r="G49" i="8"/>
  <c r="D68" i="8"/>
  <c r="D17" i="8"/>
  <c r="E32" i="8"/>
  <c r="G50" i="8"/>
  <c r="D48" i="8"/>
  <c r="I25" i="8"/>
  <c r="H50" i="8"/>
  <c r="G58" i="8"/>
  <c r="C39" i="8"/>
  <c r="H26" i="8"/>
  <c r="G15" i="8"/>
  <c r="F43" i="8"/>
  <c r="H54" i="8"/>
  <c r="F67" i="8"/>
  <c r="G25" i="8"/>
  <c r="H18" i="8"/>
  <c r="E16" i="8"/>
  <c r="E26" i="8"/>
  <c r="C63" i="8"/>
  <c r="I72" i="8"/>
  <c r="H63" i="8"/>
  <c r="I68" i="8"/>
  <c r="G47" i="8"/>
  <c r="F72" i="8"/>
  <c r="D30" i="8"/>
  <c r="F59" i="8"/>
  <c r="I48" i="8"/>
  <c r="F21" i="8"/>
  <c r="I49" i="8"/>
  <c r="G56" i="8"/>
  <c r="C59" i="8"/>
  <c r="C37" i="8"/>
  <c r="F34" i="8"/>
  <c r="G17" i="8"/>
  <c r="I35" i="8"/>
  <c r="D13" i="8"/>
  <c r="E60" i="8"/>
  <c r="I42" i="8"/>
  <c r="F42" i="8"/>
  <c r="C15" i="8"/>
  <c r="H37" i="8"/>
  <c r="H36" i="8"/>
  <c r="E43" i="8"/>
  <c r="F17" i="8"/>
  <c r="H56" i="8"/>
  <c r="I53" i="8"/>
  <c r="I39" i="8"/>
  <c r="I28" i="14"/>
  <c r="C27" i="14"/>
  <c r="J24" i="14"/>
  <c r="E24" i="14"/>
  <c r="E27" i="14"/>
  <c r="J27" i="14"/>
  <c r="G29" i="14"/>
  <c r="F30" i="14"/>
  <c r="F33" i="14"/>
  <c r="I30" i="14"/>
  <c r="D28" i="14"/>
  <c r="J30" i="14"/>
  <c r="D33" i="14"/>
  <c r="I24" i="14"/>
  <c r="H29" i="14"/>
  <c r="C24" i="14"/>
  <c r="C30" i="14"/>
  <c r="G30" i="14"/>
  <c r="E30" i="14"/>
  <c r="H27" i="14"/>
  <c r="F28" i="14"/>
  <c r="C33" i="14"/>
  <c r="D24" i="14"/>
  <c r="F29" i="14"/>
  <c r="I33" i="14"/>
  <c r="G24" i="14"/>
  <c r="I27" i="14"/>
  <c r="I29" i="14"/>
  <c r="J29" i="14"/>
  <c r="F27" i="14"/>
  <c r="H33" i="14"/>
  <c r="H24" i="14"/>
  <c r="F24" i="14"/>
  <c r="G27" i="14"/>
  <c r="D29" i="14"/>
  <c r="E33" i="14"/>
  <c r="E28" i="14"/>
  <c r="G33" i="14"/>
  <c r="J33" i="14"/>
  <c r="C28" i="14"/>
  <c r="E29" i="14"/>
  <c r="D27" i="14"/>
  <c r="D30" i="14"/>
  <c r="C29" i="14"/>
  <c r="G28" i="14"/>
  <c r="H30" i="14"/>
  <c r="H28" i="14"/>
  <c r="J28" i="14"/>
  <c r="G10" i="14"/>
  <c r="F10" i="14"/>
  <c r="D10" i="14"/>
  <c r="C10" i="14"/>
  <c r="H10" i="14"/>
  <c r="I10" i="14"/>
  <c r="E10" i="14"/>
  <c r="C27" i="13"/>
  <c r="F41" i="13"/>
  <c r="D32" i="13"/>
  <c r="D17" i="13"/>
  <c r="E19" i="13"/>
  <c r="E17" i="13"/>
  <c r="D44" i="13"/>
  <c r="E18" i="13"/>
  <c r="D43" i="13"/>
  <c r="C21" i="13"/>
  <c r="D38" i="13"/>
  <c r="F32" i="13"/>
  <c r="D36" i="13"/>
  <c r="D25" i="13"/>
  <c r="D31" i="13"/>
  <c r="C18" i="13"/>
  <c r="F18" i="13"/>
  <c r="F23" i="13"/>
  <c r="E13" i="13"/>
  <c r="D13" i="13"/>
  <c r="D39" i="13"/>
  <c r="C39" i="13"/>
  <c r="E32" i="13"/>
  <c r="F28" i="13"/>
  <c r="E34" i="13"/>
  <c r="F26" i="13"/>
  <c r="C34" i="13"/>
  <c r="F36" i="13"/>
  <c r="D16" i="13"/>
  <c r="F19" i="13"/>
  <c r="E21" i="13"/>
  <c r="C15" i="13"/>
  <c r="F40" i="13"/>
  <c r="F43" i="13"/>
  <c r="C29" i="13"/>
  <c r="F25" i="13"/>
  <c r="D20" i="13"/>
  <c r="D23" i="13"/>
  <c r="E35" i="13"/>
  <c r="D19" i="13"/>
  <c r="F44" i="13"/>
  <c r="C44" i="13"/>
  <c r="C32" i="13"/>
  <c r="F24" i="13"/>
  <c r="C42" i="13"/>
  <c r="D37" i="13"/>
  <c r="D14" i="13"/>
  <c r="F14" i="13"/>
  <c r="F22" i="13"/>
  <c r="D21" i="13"/>
  <c r="D40" i="13"/>
  <c r="F21" i="13"/>
  <c r="C36" i="13"/>
  <c r="E44" i="13"/>
  <c r="F16" i="13"/>
  <c r="E24" i="13"/>
  <c r="E12" i="13"/>
  <c r="C30" i="13"/>
  <c r="D33" i="13"/>
  <c r="C20" i="13"/>
  <c r="E23" i="13"/>
  <c r="D41" i="13"/>
  <c r="E28" i="13"/>
  <c r="D27" i="13"/>
  <c r="C38" i="13"/>
  <c r="E43" i="13"/>
  <c r="E30" i="13"/>
  <c r="F12" i="13"/>
  <c r="F20" i="13"/>
  <c r="F27" i="13"/>
  <c r="D18" i="13"/>
  <c r="E26" i="13"/>
  <c r="E16" i="13"/>
  <c r="C19" i="13"/>
  <c r="F37" i="13"/>
  <c r="D29" i="13"/>
  <c r="C12" i="13"/>
  <c r="C31" i="13"/>
  <c r="F39" i="13"/>
  <c r="C33" i="13"/>
  <c r="C25" i="13"/>
  <c r="F34" i="13"/>
  <c r="E38" i="13"/>
  <c r="F38" i="13"/>
  <c r="C24" i="13"/>
  <c r="F31" i="13"/>
  <c r="C17" i="13"/>
  <c r="F42" i="13"/>
  <c r="E39" i="13"/>
  <c r="D30" i="13"/>
  <c r="E36" i="13"/>
  <c r="D34" i="13"/>
  <c r="D15" i="13"/>
  <c r="E29" i="13"/>
  <c r="E22" i="13"/>
  <c r="F13" i="13"/>
  <c r="D26" i="13"/>
  <c r="C28" i="13"/>
  <c r="E37" i="13"/>
  <c r="F35" i="13"/>
  <c r="F29" i="13"/>
  <c r="E20" i="13"/>
  <c r="E42" i="13"/>
  <c r="C37" i="13"/>
  <c r="F30" i="13"/>
  <c r="E33" i="13"/>
  <c r="C14" i="13"/>
  <c r="F15" i="13"/>
  <c r="E14" i="13"/>
  <c r="C35" i="13"/>
  <c r="F17" i="13"/>
  <c r="D35" i="13"/>
  <c r="C22" i="13"/>
  <c r="E15" i="13"/>
  <c r="D24" i="13"/>
  <c r="E31" i="13"/>
  <c r="D22" i="13"/>
  <c r="C23" i="13"/>
  <c r="E25" i="13"/>
  <c r="D42" i="13"/>
  <c r="E41" i="13"/>
  <c r="C43" i="13"/>
  <c r="C26" i="13"/>
  <c r="D28" i="13"/>
  <c r="C13" i="13"/>
  <c r="E27" i="13"/>
  <c r="C40" i="13"/>
  <c r="F33" i="13"/>
  <c r="C41" i="13"/>
  <c r="D12" i="13"/>
  <c r="E40" i="13"/>
  <c r="C16" i="13"/>
  <c r="E35" i="18" l="1"/>
  <c r="F26" i="18"/>
  <c r="F35" i="18"/>
  <c r="E41" i="89"/>
  <c r="D41" i="89"/>
  <c r="C41" i="89"/>
  <c r="B41" i="89"/>
  <c r="F41" i="89"/>
  <c r="F44" i="89"/>
  <c r="E44" i="89"/>
  <c r="D44" i="89"/>
  <c r="C44" i="89"/>
  <c r="B44" i="89"/>
  <c r="C51" i="89"/>
  <c r="B51" i="89"/>
  <c r="E51" i="89"/>
  <c r="F51" i="89"/>
  <c r="D51" i="89"/>
  <c r="F45" i="89"/>
  <c r="E45" i="89"/>
  <c r="C45" i="89"/>
  <c r="B45" i="89"/>
  <c r="D45" i="89"/>
  <c r="E40" i="89"/>
  <c r="D40" i="89"/>
  <c r="C40" i="89"/>
  <c r="F40" i="89"/>
  <c r="B40" i="89"/>
  <c r="B47" i="89"/>
  <c r="F47" i="89"/>
  <c r="E47" i="89"/>
  <c r="C47" i="89"/>
  <c r="D47" i="89"/>
  <c r="C50" i="89"/>
  <c r="B50" i="89"/>
  <c r="F50" i="89"/>
  <c r="E50" i="89"/>
  <c r="D50" i="89"/>
  <c r="D37" i="89"/>
  <c r="C37" i="89"/>
  <c r="B37" i="89"/>
  <c r="E37" i="89"/>
  <c r="F37" i="89"/>
  <c r="B48" i="89"/>
  <c r="F48" i="89"/>
  <c r="C48" i="89"/>
  <c r="E48" i="89"/>
  <c r="D48" i="89"/>
  <c r="D39" i="89"/>
  <c r="C39" i="89"/>
  <c r="F39" i="89"/>
  <c r="E39" i="89"/>
  <c r="B39" i="89"/>
  <c r="B49" i="89"/>
  <c r="F49" i="89"/>
  <c r="D49" i="89"/>
  <c r="E49" i="89"/>
  <c r="C49" i="89"/>
  <c r="E42" i="89"/>
  <c r="D42" i="89"/>
  <c r="C42" i="89"/>
  <c r="B42" i="89"/>
  <c r="F42" i="89"/>
  <c r="F43" i="89"/>
  <c r="E43" i="89"/>
  <c r="D43" i="89"/>
  <c r="B43" i="89"/>
  <c r="C43" i="89"/>
  <c r="F46" i="89"/>
  <c r="E46" i="89"/>
  <c r="B46" i="89"/>
  <c r="D46" i="89"/>
  <c r="C46" i="89"/>
  <c r="G38" i="89"/>
  <c r="H25" i="23"/>
  <c r="H19" i="23"/>
  <c r="H24" i="23"/>
  <c r="H14" i="23"/>
  <c r="H38" i="23"/>
  <c r="H37" i="23"/>
  <c r="H29" i="23"/>
  <c r="H32" i="23"/>
  <c r="H35" i="23"/>
  <c r="H41" i="23"/>
  <c r="H42" i="23"/>
  <c r="H12" i="23"/>
  <c r="H18" i="23"/>
  <c r="H17" i="23"/>
  <c r="H31" i="23"/>
  <c r="H34" i="23"/>
  <c r="H28" i="23"/>
  <c r="H39" i="23"/>
  <c r="H30" i="23"/>
  <c r="H33" i="23"/>
  <c r="H26" i="23"/>
  <c r="H40" i="23"/>
  <c r="H21" i="23"/>
  <c r="H20" i="23"/>
  <c r="H16" i="23"/>
  <c r="H43" i="23"/>
  <c r="H22" i="23"/>
  <c r="H13" i="23"/>
  <c r="H15" i="23"/>
  <c r="H36" i="23"/>
  <c r="H27" i="23"/>
  <c r="H23" i="23"/>
  <c r="D26" i="16"/>
  <c r="F43" i="9"/>
  <c r="F42" i="9"/>
  <c r="F42" i="11"/>
  <c r="G25" i="89"/>
  <c r="J13" i="26"/>
  <c r="K29" i="26"/>
  <c r="J30" i="26"/>
  <c r="C27" i="12"/>
  <c r="E38" i="12"/>
  <c r="H62" i="12"/>
  <c r="H49" i="12"/>
  <c r="H24" i="12"/>
  <c r="D32" i="12"/>
  <c r="E35" i="12"/>
  <c r="D21" i="12"/>
  <c r="C16" i="12"/>
  <c r="F33" i="12"/>
  <c r="C39" i="12"/>
  <c r="G67" i="12"/>
  <c r="F56" i="12"/>
  <c r="C17" i="12"/>
  <c r="H19" i="12"/>
  <c r="H36" i="12"/>
  <c r="G63" i="12"/>
  <c r="D35" i="12"/>
  <c r="I29" i="12"/>
  <c r="I20" i="12"/>
  <c r="F63" i="12"/>
  <c r="E23" i="12"/>
  <c r="H38" i="12"/>
  <c r="F27" i="12"/>
  <c r="E25" i="12"/>
  <c r="H51" i="12"/>
  <c r="H42" i="12"/>
  <c r="E68" i="12"/>
  <c r="G19" i="12"/>
  <c r="E22" i="12"/>
  <c r="I36" i="12"/>
  <c r="F21" i="12"/>
  <c r="F40" i="12"/>
  <c r="G36" i="12"/>
  <c r="F29" i="12"/>
  <c r="D26" i="12"/>
  <c r="D29" i="12"/>
  <c r="C54" i="12"/>
  <c r="G53" i="12"/>
  <c r="H61" i="12"/>
  <c r="H22" i="12"/>
  <c r="G37" i="12"/>
  <c r="G54" i="12"/>
  <c r="G51" i="12"/>
  <c r="G30" i="12"/>
  <c r="I12" i="12"/>
  <c r="I13" i="12"/>
  <c r="E42" i="12"/>
  <c r="G14" i="12"/>
  <c r="C31" i="12"/>
  <c r="H72" i="12"/>
  <c r="D33" i="12"/>
  <c r="D40" i="12"/>
  <c r="D50" i="12"/>
  <c r="E18" i="12"/>
  <c r="F19" i="12"/>
  <c r="E57" i="12"/>
  <c r="H67" i="12"/>
  <c r="H60" i="12"/>
  <c r="G23" i="12"/>
  <c r="I62" i="12"/>
  <c r="C29" i="12"/>
  <c r="G25" i="12"/>
  <c r="F18" i="12"/>
  <c r="H18" i="12"/>
  <c r="F15" i="12"/>
  <c r="G52" i="12"/>
  <c r="G47" i="12"/>
  <c r="H31" i="12"/>
  <c r="D53" i="12"/>
  <c r="I41" i="12"/>
  <c r="H16" i="12"/>
  <c r="E62" i="12"/>
  <c r="H69" i="12"/>
  <c r="D54" i="12"/>
  <c r="I57" i="12"/>
  <c r="C67" i="12"/>
  <c r="D42" i="12"/>
  <c r="E69" i="12"/>
  <c r="G72" i="12"/>
  <c r="F42" i="12"/>
  <c r="I18" i="12"/>
  <c r="D18" i="12"/>
  <c r="F47" i="12"/>
  <c r="C23" i="12"/>
  <c r="G12" i="12"/>
  <c r="E61" i="12"/>
  <c r="F31" i="12"/>
  <c r="C63" i="12"/>
  <c r="I47" i="12"/>
  <c r="D52" i="12"/>
  <c r="D72" i="12"/>
  <c r="G48" i="12"/>
  <c r="E53" i="12"/>
  <c r="F49" i="12"/>
  <c r="G13" i="12"/>
  <c r="C13" i="12"/>
  <c r="F43" i="12"/>
  <c r="C60" i="12"/>
  <c r="G24" i="12"/>
  <c r="E52" i="12"/>
  <c r="D30" i="12"/>
  <c r="H23" i="12"/>
  <c r="E58" i="12"/>
  <c r="D51" i="12"/>
  <c r="D36" i="12"/>
  <c r="I19" i="12"/>
  <c r="G17" i="12"/>
  <c r="D69" i="12"/>
  <c r="C21" i="12"/>
  <c r="I28" i="12"/>
  <c r="H30" i="12"/>
  <c r="D62" i="12"/>
  <c r="F55" i="12"/>
  <c r="H26" i="12"/>
  <c r="D28" i="12"/>
  <c r="I24" i="12"/>
  <c r="C24" i="12"/>
  <c r="D17" i="12"/>
  <c r="G50" i="12"/>
  <c r="G29" i="12"/>
  <c r="G57" i="12"/>
  <c r="F53" i="12"/>
  <c r="F57" i="12"/>
  <c r="C40" i="12"/>
  <c r="I14" i="12"/>
  <c r="F20" i="12"/>
  <c r="F28" i="12"/>
  <c r="I31" i="12"/>
  <c r="C34" i="12"/>
  <c r="C15" i="12"/>
  <c r="C19" i="12"/>
  <c r="F24" i="12"/>
  <c r="D61" i="12"/>
  <c r="G43" i="12"/>
  <c r="H32" i="12"/>
  <c r="D56" i="12"/>
  <c r="I40" i="12"/>
  <c r="D47" i="12"/>
  <c r="D31" i="12"/>
  <c r="D55" i="12"/>
  <c r="C49" i="12"/>
  <c r="I38" i="12"/>
  <c r="F69" i="12"/>
  <c r="D22" i="12"/>
  <c r="I39" i="12"/>
  <c r="G31" i="12"/>
  <c r="I30" i="12"/>
  <c r="F12" i="12"/>
  <c r="F52" i="12"/>
  <c r="H58" i="12"/>
  <c r="C36" i="12"/>
  <c r="F61" i="12"/>
  <c r="E50" i="12"/>
  <c r="E28" i="12"/>
  <c r="E41" i="12"/>
  <c r="I61" i="12"/>
  <c r="E56" i="12"/>
  <c r="C69" i="12"/>
  <c r="F22" i="12"/>
  <c r="G61" i="12"/>
  <c r="E21" i="12"/>
  <c r="F38" i="12"/>
  <c r="C62" i="12"/>
  <c r="E55" i="12"/>
  <c r="H68" i="12"/>
  <c r="E15" i="12"/>
  <c r="H29" i="12"/>
  <c r="I60" i="12"/>
  <c r="D13" i="12"/>
  <c r="E16" i="12"/>
  <c r="F37" i="12"/>
  <c r="I26" i="12"/>
  <c r="F14" i="12"/>
  <c r="C37" i="12"/>
  <c r="D27" i="12"/>
  <c r="I48" i="12"/>
  <c r="C25" i="12"/>
  <c r="F34" i="12"/>
  <c r="D34" i="12"/>
  <c r="C42" i="12"/>
  <c r="H37" i="12"/>
  <c r="D15" i="12"/>
  <c r="I69" i="12"/>
  <c r="C47" i="12"/>
  <c r="H47" i="12"/>
  <c r="F36" i="12"/>
  <c r="D19" i="12"/>
  <c r="H57" i="12"/>
  <c r="C33" i="12"/>
  <c r="C53" i="12"/>
  <c r="G49" i="12"/>
  <c r="E48" i="12"/>
  <c r="D57" i="12"/>
  <c r="E27" i="12"/>
  <c r="I72" i="12"/>
  <c r="F25" i="12"/>
  <c r="D68" i="12"/>
  <c r="G42" i="12"/>
  <c r="I34" i="12"/>
  <c r="E43" i="12"/>
  <c r="H43" i="12"/>
  <c r="I50" i="12"/>
  <c r="F35" i="12"/>
  <c r="H15" i="12"/>
  <c r="I17" i="12"/>
  <c r="C14" i="12"/>
  <c r="E39" i="12"/>
  <c r="D48" i="12"/>
  <c r="I21" i="12"/>
  <c r="E20" i="12"/>
  <c r="H55" i="12"/>
  <c r="G16" i="12"/>
  <c r="F16" i="12"/>
  <c r="F72" i="12"/>
  <c r="C12" i="12"/>
  <c r="H17" i="12"/>
  <c r="E51" i="12"/>
  <c r="H56" i="12"/>
  <c r="G20" i="12"/>
  <c r="E14" i="12"/>
  <c r="C28" i="12"/>
  <c r="G21" i="12"/>
  <c r="G60" i="12"/>
  <c r="D23" i="12"/>
  <c r="E59" i="12"/>
  <c r="F59" i="12"/>
  <c r="I53" i="12"/>
  <c r="H63" i="12"/>
  <c r="G22" i="12"/>
  <c r="I68" i="12"/>
  <c r="C41" i="12"/>
  <c r="H33" i="12"/>
  <c r="D20" i="12"/>
  <c r="G33" i="12"/>
  <c r="C68" i="12"/>
  <c r="C50" i="12"/>
  <c r="H48" i="12"/>
  <c r="E37" i="12"/>
  <c r="G32" i="12"/>
  <c r="C56" i="12"/>
  <c r="E49" i="12"/>
  <c r="E32" i="12"/>
  <c r="E72" i="12"/>
  <c r="I25" i="12"/>
  <c r="D38" i="12"/>
  <c r="H25" i="12"/>
  <c r="D25" i="12"/>
  <c r="G28" i="12"/>
  <c r="F41" i="12"/>
  <c r="D49" i="12"/>
  <c r="F32" i="12"/>
  <c r="I33" i="12"/>
  <c r="I16" i="12"/>
  <c r="C22" i="12"/>
  <c r="I56" i="12"/>
  <c r="I37" i="12"/>
  <c r="I35" i="12"/>
  <c r="H41" i="12"/>
  <c r="F17" i="12"/>
  <c r="H50" i="12"/>
  <c r="H14" i="12"/>
  <c r="C59" i="12"/>
  <c r="H28" i="12"/>
  <c r="D39" i="12"/>
  <c r="F26" i="12"/>
  <c r="I27" i="12"/>
  <c r="F13" i="12"/>
  <c r="I51" i="12"/>
  <c r="E17" i="12"/>
  <c r="I52" i="12"/>
  <c r="G35" i="12"/>
  <c r="F23" i="12"/>
  <c r="C72" i="12"/>
  <c r="E40" i="12"/>
  <c r="D58" i="12"/>
  <c r="F30" i="12"/>
  <c r="C55" i="12"/>
  <c r="E47" i="12"/>
  <c r="I59" i="12"/>
  <c r="D41" i="12"/>
  <c r="E19" i="12"/>
  <c r="H21" i="12"/>
  <c r="F50" i="12"/>
  <c r="D14" i="12"/>
  <c r="D24" i="12"/>
  <c r="E29" i="12"/>
  <c r="G68" i="12"/>
  <c r="G26" i="12"/>
  <c r="F54" i="12"/>
  <c r="G27" i="12"/>
  <c r="H27" i="12"/>
  <c r="C32" i="12"/>
  <c r="H59" i="12"/>
  <c r="C43" i="12"/>
  <c r="E13" i="12"/>
  <c r="D67" i="12"/>
  <c r="H34" i="12"/>
  <c r="I67" i="12"/>
  <c r="I15" i="12"/>
  <c r="C51" i="12"/>
  <c r="G58" i="12"/>
  <c r="G40" i="12"/>
  <c r="I43" i="12"/>
  <c r="D63" i="12"/>
  <c r="G56" i="12"/>
  <c r="H53" i="12"/>
  <c r="H35" i="12"/>
  <c r="C20" i="12"/>
  <c r="H13" i="12"/>
  <c r="E26" i="12"/>
  <c r="I58" i="12"/>
  <c r="G39" i="12"/>
  <c r="F62" i="12"/>
  <c r="D16" i="12"/>
  <c r="E31" i="12"/>
  <c r="E33" i="12"/>
  <c r="I49" i="12"/>
  <c r="E12" i="12"/>
  <c r="E54" i="12"/>
  <c r="E60" i="12"/>
  <c r="I32" i="12"/>
  <c r="H20" i="12"/>
  <c r="E67" i="12"/>
  <c r="E24" i="12"/>
  <c r="D12" i="12"/>
  <c r="F51" i="12"/>
  <c r="C35" i="12"/>
  <c r="G18" i="12"/>
  <c r="C48" i="12"/>
  <c r="D60" i="12"/>
  <c r="H54" i="12"/>
  <c r="D43" i="12"/>
  <c r="I55" i="12"/>
  <c r="D37" i="12"/>
  <c r="D59" i="12"/>
  <c r="I22" i="12"/>
  <c r="G55" i="12"/>
  <c r="I42" i="12"/>
  <c r="C38" i="12"/>
  <c r="F68" i="12"/>
  <c r="E36" i="12"/>
  <c r="F58" i="12"/>
  <c r="H40" i="12"/>
  <c r="F60" i="12"/>
  <c r="G34" i="12"/>
  <c r="H52" i="12"/>
  <c r="F48" i="12"/>
  <c r="F67" i="12"/>
  <c r="H12" i="12"/>
  <c r="C58" i="12"/>
  <c r="G59" i="12"/>
  <c r="C57" i="12"/>
  <c r="E30" i="12"/>
  <c r="I54" i="12"/>
  <c r="C26" i="12"/>
  <c r="E34" i="12"/>
  <c r="C18" i="12"/>
  <c r="I63" i="12"/>
  <c r="G62" i="12"/>
  <c r="H39" i="12"/>
  <c r="C30" i="12"/>
  <c r="G69" i="12"/>
  <c r="G41" i="12"/>
  <c r="G38" i="12"/>
  <c r="C52" i="12"/>
  <c r="E63" i="12"/>
  <c r="C61" i="12"/>
  <c r="I23" i="12"/>
  <c r="G15" i="12"/>
  <c r="F39" i="12"/>
  <c r="G46" i="89" l="1"/>
  <c r="G42" i="89"/>
  <c r="G39" i="89"/>
  <c r="G47" i="89"/>
  <c r="G44" i="89"/>
  <c r="G43" i="89"/>
  <c r="G37" i="89"/>
  <c r="G51" i="89"/>
  <c r="G41" i="89"/>
  <c r="G49" i="89"/>
  <c r="G50" i="89"/>
  <c r="G45" i="89"/>
  <c r="G48" i="89"/>
  <c r="G40" i="89"/>
  <c r="K13" i="26"/>
  <c r="K12" i="26"/>
  <c r="J28" i="26"/>
  <c r="J12" i="26"/>
  <c r="J31" i="26"/>
  <c r="K30" i="26"/>
  <c r="K28" i="26"/>
  <c r="K14" i="26"/>
  <c r="J14" i="26"/>
  <c r="J29" i="26"/>
  <c r="C50" i="35" l="1"/>
  <c r="P47" i="35" l="1"/>
  <c r="F40" i="35"/>
  <c r="G40" i="35"/>
  <c r="F42" i="35"/>
  <c r="G42" i="35"/>
  <c r="G44" i="35"/>
  <c r="F46" i="35"/>
  <c r="G46" i="35"/>
  <c r="G48" i="35"/>
  <c r="G36" i="35"/>
  <c r="F36" i="35"/>
  <c r="G38" i="35"/>
  <c r="F44" i="35"/>
  <c r="F35" i="35"/>
  <c r="M18" i="35"/>
  <c r="F18" i="35"/>
  <c r="N18" i="35"/>
  <c r="O18" i="35"/>
  <c r="P18" i="35"/>
  <c r="G19" i="35"/>
  <c r="M20" i="35"/>
  <c r="F20" i="35"/>
  <c r="L20" i="35" s="1"/>
  <c r="O20" i="35"/>
  <c r="O12" i="35"/>
  <c r="P12" i="35"/>
  <c r="O13" i="35"/>
  <c r="P13" i="35"/>
  <c r="O14" i="35"/>
  <c r="P14" i="35"/>
  <c r="O16" i="35"/>
  <c r="P16" i="35"/>
  <c r="O17" i="35"/>
  <c r="P17" i="35"/>
  <c r="N12" i="35"/>
  <c r="F13" i="35"/>
  <c r="G13" i="35"/>
  <c r="M14" i="35"/>
  <c r="N16" i="35"/>
  <c r="N17" i="35"/>
  <c r="F11" i="35"/>
  <c r="G11" i="35"/>
  <c r="P11" i="35"/>
  <c r="O11" i="35" l="1"/>
  <c r="G20" i="35"/>
  <c r="G18" i="35"/>
  <c r="G35" i="35"/>
  <c r="F49" i="35"/>
  <c r="F48" i="35"/>
  <c r="F47" i="35"/>
  <c r="F45" i="35"/>
  <c r="F43" i="35"/>
  <c r="F41" i="35"/>
  <c r="F39" i="35"/>
  <c r="F38" i="35"/>
  <c r="F37" i="35"/>
  <c r="M16" i="35"/>
  <c r="N14" i="35"/>
  <c r="M12" i="35"/>
  <c r="P19" i="35"/>
  <c r="O19" i="35"/>
  <c r="O42" i="36"/>
  <c r="O38" i="36"/>
  <c r="O34" i="36"/>
  <c r="O30" i="36"/>
  <c r="O26" i="36"/>
  <c r="O22" i="36"/>
  <c r="O18" i="36"/>
  <c r="O14" i="36"/>
  <c r="O11" i="36"/>
  <c r="O40" i="36"/>
  <c r="O36" i="36"/>
  <c r="O32" i="36"/>
  <c r="O28" i="36"/>
  <c r="O24" i="36"/>
  <c r="O20" i="36"/>
  <c r="O16" i="36"/>
  <c r="O12" i="36"/>
  <c r="G11" i="36"/>
  <c r="M11" i="36" s="1"/>
  <c r="H36" i="36"/>
  <c r="H32" i="36"/>
  <c r="H28" i="36"/>
  <c r="H16" i="36"/>
  <c r="N11" i="36"/>
  <c r="G42" i="36"/>
  <c r="M42" i="36" s="1"/>
  <c r="G38" i="36"/>
  <c r="M38" i="36" s="1"/>
  <c r="G32" i="36"/>
  <c r="M32" i="36" s="1"/>
  <c r="G26" i="36"/>
  <c r="M26" i="36" s="1"/>
  <c r="O41" i="36"/>
  <c r="O39" i="36"/>
  <c r="O37" i="36"/>
  <c r="O35" i="36"/>
  <c r="O33" i="36"/>
  <c r="O31" i="36"/>
  <c r="O29" i="36"/>
  <c r="O27" i="36"/>
  <c r="O25" i="36"/>
  <c r="O23" i="36"/>
  <c r="O21" i="36"/>
  <c r="O19" i="36"/>
  <c r="O17" i="36"/>
  <c r="O15" i="36"/>
  <c r="O13" i="36"/>
  <c r="G41" i="36"/>
  <c r="M41" i="36" s="1"/>
  <c r="G39" i="36"/>
  <c r="M39" i="36" s="1"/>
  <c r="G37" i="36"/>
  <c r="M37" i="36" s="1"/>
  <c r="G35" i="36"/>
  <c r="M35" i="36" s="1"/>
  <c r="G33" i="36"/>
  <c r="M33" i="36" s="1"/>
  <c r="G31" i="36"/>
  <c r="M31" i="36" s="1"/>
  <c r="G29" i="36"/>
  <c r="M29" i="36" s="1"/>
  <c r="G27" i="36"/>
  <c r="M27" i="36" s="1"/>
  <c r="G25" i="36"/>
  <c r="M25" i="36" s="1"/>
  <c r="G23" i="36"/>
  <c r="M23" i="36" s="1"/>
  <c r="G21" i="36"/>
  <c r="M21" i="36" s="1"/>
  <c r="G19" i="36"/>
  <c r="M19" i="36" s="1"/>
  <c r="G17" i="36"/>
  <c r="M17" i="36" s="1"/>
  <c r="G15" i="36"/>
  <c r="M15" i="36" s="1"/>
  <c r="G13" i="36"/>
  <c r="M13" i="36" s="1"/>
  <c r="N42" i="36"/>
  <c r="N41" i="36"/>
  <c r="N40" i="36"/>
  <c r="N39" i="36"/>
  <c r="N38" i="36"/>
  <c r="N37" i="36"/>
  <c r="N35" i="36"/>
  <c r="N34" i="36"/>
  <c r="N33" i="36"/>
  <c r="N31" i="36"/>
  <c r="N30" i="36"/>
  <c r="N29" i="36"/>
  <c r="N27" i="36"/>
  <c r="N26" i="36"/>
  <c r="N25" i="36"/>
  <c r="N24" i="36"/>
  <c r="N23" i="36"/>
  <c r="N22" i="36"/>
  <c r="N21" i="36"/>
  <c r="N20" i="36"/>
  <c r="N19" i="36"/>
  <c r="N18" i="36"/>
  <c r="N17" i="36"/>
  <c r="N15" i="36"/>
  <c r="N14" i="36"/>
  <c r="N13" i="36"/>
  <c r="N12" i="36"/>
  <c r="H40" i="36"/>
  <c r="H38" i="36"/>
  <c r="H34" i="36"/>
  <c r="H30" i="36"/>
  <c r="H26" i="36"/>
  <c r="H22" i="36"/>
  <c r="H18" i="36"/>
  <c r="H14" i="36"/>
  <c r="G40" i="36"/>
  <c r="M40" i="36" s="1"/>
  <c r="G36" i="36"/>
  <c r="M36" i="36" s="1"/>
  <c r="G34" i="36"/>
  <c r="M34" i="36" s="1"/>
  <c r="G30" i="36"/>
  <c r="M30" i="36" s="1"/>
  <c r="G28" i="36"/>
  <c r="M28" i="36" s="1"/>
  <c r="G24" i="36"/>
  <c r="M24" i="36" s="1"/>
  <c r="G22" i="36"/>
  <c r="M22" i="36" s="1"/>
  <c r="G20" i="36"/>
  <c r="M20" i="36" s="1"/>
  <c r="G18" i="36"/>
  <c r="M18" i="36" s="1"/>
  <c r="G14" i="36"/>
  <c r="M14" i="36" s="1"/>
  <c r="G12" i="36"/>
  <c r="M12" i="36" s="1"/>
  <c r="N36" i="36"/>
  <c r="N32" i="36"/>
  <c r="N28" i="36"/>
  <c r="N16" i="36"/>
  <c r="H11" i="36"/>
  <c r="H42" i="36"/>
  <c r="H24" i="36"/>
  <c r="H20" i="36"/>
  <c r="H12" i="36"/>
  <c r="G16" i="36"/>
  <c r="M16" i="36" s="1"/>
  <c r="H41" i="36"/>
  <c r="H39" i="36"/>
  <c r="H37" i="36"/>
  <c r="H35" i="36"/>
  <c r="H33" i="36"/>
  <c r="H31" i="36"/>
  <c r="H29" i="36"/>
  <c r="H27" i="36"/>
  <c r="H25" i="36"/>
  <c r="H23" i="36"/>
  <c r="H21" i="36"/>
  <c r="H19" i="36"/>
  <c r="H17" i="36"/>
  <c r="H15" i="36"/>
  <c r="H13" i="36"/>
  <c r="G49" i="35"/>
  <c r="G47" i="35"/>
  <c r="G45" i="35"/>
  <c r="G43" i="35"/>
  <c r="G41" i="35"/>
  <c r="G39" i="35"/>
  <c r="G37" i="35"/>
  <c r="L18" i="35"/>
  <c r="L11" i="35"/>
  <c r="M17" i="35"/>
  <c r="M13" i="35"/>
  <c r="L13" i="35"/>
  <c r="N20" i="35"/>
  <c r="N19" i="35"/>
  <c r="N13" i="35"/>
  <c r="M19" i="35"/>
  <c r="M11" i="35"/>
  <c r="F19" i="35"/>
  <c r="L19" i="35" s="1"/>
  <c r="N11" i="35"/>
  <c r="S11" i="34"/>
  <c r="S15" i="34"/>
  <c r="S23" i="34"/>
  <c r="S27" i="34"/>
  <c r="S31" i="34"/>
  <c r="S39" i="34"/>
  <c r="G50" i="35" l="1"/>
  <c r="S41" i="34"/>
  <c r="S37" i="34"/>
  <c r="S33" i="34"/>
  <c r="S29" i="34"/>
  <c r="S25" i="34"/>
  <c r="S21" i="34"/>
  <c r="S17" i="34"/>
  <c r="S13" i="34"/>
  <c r="S35" i="34"/>
  <c r="S19" i="34"/>
  <c r="S40" i="34"/>
  <c r="S36" i="34"/>
  <c r="S32" i="34"/>
  <c r="S28" i="34"/>
  <c r="S24" i="34"/>
  <c r="S20" i="34"/>
  <c r="S16" i="34"/>
  <c r="S12" i="34"/>
  <c r="S38" i="34"/>
  <c r="S34" i="34"/>
  <c r="S30" i="34"/>
  <c r="S26" i="34"/>
  <c r="S22" i="34"/>
  <c r="S18" i="34"/>
  <c r="S14" i="34"/>
  <c r="R42" i="34"/>
  <c r="S10" i="34"/>
  <c r="S42" i="34" l="1"/>
  <c r="F11" i="40" l="1"/>
  <c r="F10" i="40"/>
  <c r="E9" i="13"/>
  <c r="E21" i="16"/>
  <c r="F26" i="16"/>
  <c r="C32" i="16"/>
  <c r="E31" i="16"/>
  <c r="E27" i="18"/>
  <c r="E26" i="16"/>
  <c r="B32" i="16"/>
  <c r="F27" i="18"/>
  <c r="F31" i="18"/>
  <c r="E26" i="18"/>
  <c r="C9" i="13"/>
  <c r="D9" i="13"/>
  <c r="F9" i="13"/>
  <c r="C61" i="28" l="1"/>
  <c r="B67" i="28" l="1"/>
  <c r="B63" i="28"/>
  <c r="C63" i="28"/>
  <c r="D17" i="28"/>
  <c r="D66" i="28" s="1"/>
  <c r="D15" i="28"/>
  <c r="D13" i="28"/>
  <c r="D11" i="28"/>
  <c r="C64" i="28"/>
  <c r="C60" i="28"/>
  <c r="C66" i="28"/>
  <c r="C62" i="28"/>
  <c r="E41" i="28"/>
  <c r="E47" i="28"/>
  <c r="E45" i="28"/>
  <c r="B62" i="28"/>
  <c r="B60" i="28"/>
  <c r="D16" i="28"/>
  <c r="D65" i="28" s="1"/>
  <c r="D12" i="28"/>
  <c r="D61" i="28" s="1"/>
  <c r="E44" i="28"/>
  <c r="E42" i="28"/>
  <c r="C65" i="28"/>
  <c r="E43" i="28"/>
  <c r="B64" i="28"/>
  <c r="B65" i="28"/>
  <c r="B61" i="28"/>
  <c r="D18" i="28"/>
  <c r="D48" i="28" s="1"/>
  <c r="D14" i="28"/>
  <c r="D63" i="28" s="1"/>
  <c r="K31" i="26"/>
  <c r="D25" i="28" l="1"/>
  <c r="D26" i="28" s="1"/>
  <c r="D67" i="28"/>
  <c r="B48" i="28"/>
  <c r="D21" i="28"/>
  <c r="D22" i="28" s="1"/>
  <c r="D41" i="28"/>
  <c r="D60" i="28"/>
  <c r="C43" i="28"/>
  <c r="D62" i="28"/>
  <c r="C45" i="28"/>
  <c r="D64" i="28"/>
  <c r="D47" i="28"/>
  <c r="C47" i="28"/>
  <c r="B41" i="28"/>
  <c r="B43" i="28"/>
  <c r="B45" i="28"/>
  <c r="C44" i="23"/>
  <c r="J48" i="8"/>
  <c r="I44" i="8"/>
  <c r="J72" i="8"/>
  <c r="E64" i="8"/>
  <c r="J15" i="26"/>
  <c r="C41" i="28"/>
  <c r="D43" i="28"/>
  <c r="B47" i="28"/>
  <c r="D45" i="28"/>
  <c r="B42" i="28"/>
  <c r="C42" i="28"/>
  <c r="C48" i="28"/>
  <c r="B44" i="28"/>
  <c r="D44" i="28"/>
  <c r="C46" i="28"/>
  <c r="D42" i="28"/>
  <c r="B46" i="28"/>
  <c r="D46" i="28"/>
  <c r="C44" i="28"/>
  <c r="G44" i="23"/>
  <c r="F44" i="23"/>
  <c r="D44" i="23"/>
  <c r="E44" i="23"/>
  <c r="H44" i="23" l="1"/>
  <c r="D36" i="76" l="1"/>
  <c r="B36" i="76"/>
  <c r="C22" i="76"/>
  <c r="B22" i="76" l="1"/>
  <c r="D22" i="76"/>
  <c r="F36" i="76"/>
  <c r="G36" i="76"/>
  <c r="F22" i="76"/>
  <c r="G22" i="76"/>
  <c r="E36" i="76"/>
  <c r="E22" i="76"/>
  <c r="C36" i="76"/>
  <c r="J72" i="12"/>
  <c r="F23" i="9"/>
  <c r="F21" i="9"/>
  <c r="H54" i="7"/>
  <c r="H62" i="7"/>
  <c r="F10" i="3"/>
  <c r="D10" i="3"/>
  <c r="D13" i="3"/>
  <c r="B11" i="3"/>
  <c r="D12" i="3"/>
  <c r="B10" i="3"/>
  <c r="B13" i="3"/>
  <c r="E13" i="3"/>
  <c r="D11" i="3"/>
  <c r="C12" i="3"/>
  <c r="C11" i="3"/>
  <c r="C13" i="3"/>
  <c r="F13" i="3"/>
  <c r="F12" i="3"/>
  <c r="C10" i="3"/>
  <c r="E12" i="3"/>
  <c r="E10" i="3"/>
  <c r="B12" i="3"/>
  <c r="H53" i="7" l="1"/>
  <c r="H63" i="7"/>
  <c r="H59" i="7"/>
  <c r="H55" i="7"/>
  <c r="H51" i="7"/>
  <c r="H61" i="7"/>
  <c r="H68" i="7"/>
  <c r="H58" i="7"/>
  <c r="H50" i="7"/>
  <c r="H57" i="7"/>
  <c r="H49" i="7"/>
  <c r="H73" i="7"/>
  <c r="H67" i="7"/>
  <c r="H69" i="7"/>
  <c r="H60" i="7"/>
  <c r="H56" i="7"/>
  <c r="H52" i="7"/>
  <c r="H48" i="7"/>
  <c r="H47" i="7"/>
  <c r="C27" i="10"/>
  <c r="H27" i="10"/>
  <c r="D27" i="10"/>
  <c r="G27" i="10"/>
  <c r="I27" i="10"/>
  <c r="E27" i="10"/>
  <c r="I10" i="10"/>
  <c r="F27" i="10"/>
  <c r="H42" i="7"/>
  <c r="H38" i="7"/>
  <c r="H34" i="7"/>
  <c r="H30" i="7"/>
  <c r="H26" i="7"/>
  <c r="H22" i="7"/>
  <c r="H18" i="7"/>
  <c r="H14" i="7"/>
  <c r="H37" i="7"/>
  <c r="H25" i="7"/>
  <c r="H17" i="7"/>
  <c r="H12" i="7"/>
  <c r="H40" i="7"/>
  <c r="H36" i="7"/>
  <c r="H32" i="7"/>
  <c r="H28" i="7"/>
  <c r="H24" i="7"/>
  <c r="H20" i="7"/>
  <c r="H16" i="7"/>
  <c r="H41" i="7"/>
  <c r="H33" i="7"/>
  <c r="H29" i="7"/>
  <c r="H21" i="7"/>
  <c r="H13" i="7"/>
  <c r="H43" i="7"/>
  <c r="H39" i="7"/>
  <c r="H35" i="7"/>
  <c r="H31" i="7"/>
  <c r="H27" i="7"/>
  <c r="H23" i="7"/>
  <c r="H19" i="7"/>
  <c r="H15" i="7"/>
  <c r="G10" i="3"/>
  <c r="G11" i="3"/>
  <c r="G12" i="3"/>
  <c r="G13" i="3"/>
  <c r="A28" i="22"/>
  <c r="A29" i="22"/>
  <c r="A23" i="15"/>
  <c r="J49" i="12" l="1"/>
  <c r="J35" i="12"/>
  <c r="J36" i="12"/>
  <c r="J33" i="12"/>
  <c r="J48" i="12"/>
  <c r="J51" i="12"/>
  <c r="F70" i="12"/>
  <c r="J69" i="12"/>
  <c r="E70" i="12"/>
  <c r="G44" i="12"/>
  <c r="G64" i="12"/>
  <c r="J16" i="12"/>
  <c r="J41" i="12"/>
  <c r="J23" i="12"/>
  <c r="E64" i="12"/>
  <c r="J29" i="12"/>
  <c r="J60" i="12"/>
  <c r="J56" i="12"/>
  <c r="J24" i="12"/>
  <c r="J57" i="12"/>
  <c r="J63" i="12"/>
  <c r="J40" i="12"/>
  <c r="J14" i="12"/>
  <c r="F64" i="12"/>
  <c r="J68" i="12"/>
  <c r="I44" i="12"/>
  <c r="J43" i="12"/>
  <c r="J50" i="12"/>
  <c r="J37" i="12"/>
  <c r="J61" i="12"/>
  <c r="J32" i="12"/>
  <c r="I70" i="12"/>
  <c r="J18" i="12"/>
  <c r="J31" i="12"/>
  <c r="H64" i="12"/>
  <c r="J55" i="12"/>
  <c r="J27" i="12"/>
  <c r="J26" i="12"/>
  <c r="J67" i="12"/>
  <c r="D64" i="12"/>
  <c r="J58" i="12"/>
  <c r="J22" i="12"/>
  <c r="J15" i="12"/>
  <c r="J19" i="12"/>
  <c r="J25" i="12"/>
  <c r="G70" i="12"/>
  <c r="D70" i="12"/>
  <c r="J62" i="12"/>
  <c r="J21" i="12"/>
  <c r="J20" i="12"/>
  <c r="J30" i="12"/>
  <c r="H44" i="12"/>
  <c r="J13" i="12"/>
  <c r="J34" i="12"/>
  <c r="I64" i="12"/>
  <c r="J42" i="12"/>
  <c r="J59" i="12"/>
  <c r="J39" i="12"/>
  <c r="J54" i="12"/>
  <c r="J12" i="12"/>
  <c r="J38" i="12"/>
  <c r="J47" i="12"/>
  <c r="H70" i="12"/>
  <c r="J28" i="12"/>
  <c r="J17" i="12"/>
  <c r="J53" i="12"/>
  <c r="J52" i="12"/>
  <c r="B33" i="15"/>
  <c r="E37" i="15"/>
  <c r="E38" i="15" s="1"/>
  <c r="H37" i="15"/>
  <c r="H38" i="15" s="1"/>
  <c r="H23" i="15"/>
  <c r="C37" i="15"/>
  <c r="C38" i="15" s="1"/>
  <c r="B23" i="15"/>
  <c r="F23" i="15"/>
  <c r="J23" i="15"/>
  <c r="K37" i="15"/>
  <c r="K38" i="15" s="1"/>
  <c r="G37" i="15"/>
  <c r="G38" i="15" s="1"/>
  <c r="J37" i="15"/>
  <c r="J38" i="15" s="1"/>
  <c r="F37" i="15"/>
  <c r="F38" i="15" s="1"/>
  <c r="I37" i="15"/>
  <c r="I38" i="15" s="1"/>
  <c r="L17" i="15"/>
  <c r="N17" i="15" s="1"/>
  <c r="D37" i="15"/>
  <c r="D38" i="15" s="1"/>
  <c r="M15" i="15"/>
  <c r="O15" i="15" s="1"/>
  <c r="L14" i="15"/>
  <c r="N14" i="15" s="1"/>
  <c r="M13" i="15"/>
  <c r="O13" i="15" s="1"/>
  <c r="K23" i="15"/>
  <c r="G23" i="15"/>
  <c r="C23" i="15"/>
  <c r="F17" i="22"/>
  <c r="C28" i="22" s="1"/>
  <c r="L11" i="15"/>
  <c r="M18" i="15"/>
  <c r="L18" i="15"/>
  <c r="L12" i="15"/>
  <c r="N12" i="15" s="1"/>
  <c r="I23" i="15"/>
  <c r="E23" i="15"/>
  <c r="B37" i="15"/>
  <c r="B38" i="15" s="1"/>
  <c r="D23" i="15"/>
  <c r="F18" i="22"/>
  <c r="B29" i="22" s="1"/>
  <c r="L13" i="15"/>
  <c r="N13" i="15" s="1"/>
  <c r="M12" i="15"/>
  <c r="O12" i="15" s="1"/>
  <c r="M16" i="15"/>
  <c r="O16" i="15" s="1"/>
  <c r="M17" i="15"/>
  <c r="O17" i="15" s="1"/>
  <c r="L16" i="15"/>
  <c r="N16" i="15" s="1"/>
  <c r="L15" i="15"/>
  <c r="N15" i="15" s="1"/>
  <c r="M14" i="15"/>
  <c r="O14" i="15" s="1"/>
  <c r="M11" i="15"/>
  <c r="J44" i="12" l="1"/>
  <c r="J64" i="12"/>
  <c r="J70" i="12"/>
  <c r="O11" i="15"/>
  <c r="M23" i="15"/>
  <c r="D29" i="22"/>
  <c r="E29" i="22"/>
  <c r="O18" i="15"/>
  <c r="O37" i="15" s="1"/>
  <c r="O38" i="15" s="1"/>
  <c r="M37" i="15"/>
  <c r="M38" i="15" s="1"/>
  <c r="N11" i="15"/>
  <c r="L23" i="15"/>
  <c r="E28" i="22"/>
  <c r="B28" i="22"/>
  <c r="D28" i="22"/>
  <c r="N18" i="15"/>
  <c r="N37" i="15" s="1"/>
  <c r="N38" i="15" s="1"/>
  <c r="L37" i="15"/>
  <c r="L38" i="15" s="1"/>
  <c r="C29" i="22"/>
  <c r="N23" i="15" l="1"/>
  <c r="F28" i="22"/>
  <c r="F20" i="2"/>
  <c r="F21" i="2" s="1"/>
  <c r="C20" i="2"/>
  <c r="C21" i="2" s="1"/>
  <c r="O23" i="15"/>
  <c r="F29" i="22"/>
  <c r="G16" i="2"/>
  <c r="M11" i="96" s="1"/>
  <c r="D20" i="2"/>
  <c r="D21" i="2" s="1"/>
  <c r="E20" i="2"/>
  <c r="E21" i="2" s="1"/>
  <c r="M16" i="96" l="1"/>
  <c r="M12" i="96"/>
  <c r="M15" i="96"/>
  <c r="M14" i="96"/>
  <c r="M17" i="96"/>
  <c r="M13" i="96"/>
  <c r="M18" i="96"/>
  <c r="M20" i="96"/>
  <c r="M21" i="96"/>
  <c r="M22" i="96"/>
  <c r="M19" i="96"/>
  <c r="I16" i="2"/>
  <c r="G20" i="2"/>
  <c r="G21" i="2" s="1"/>
  <c r="I20" i="2" l="1"/>
  <c r="I21" i="2" s="1"/>
  <c r="H42" i="25" l="1"/>
  <c r="G42" i="25"/>
  <c r="F42" i="25"/>
  <c r="E42" i="25"/>
  <c r="D42" i="25"/>
  <c r="C42" i="25"/>
  <c r="I42" i="25" l="1"/>
  <c r="I15" i="24"/>
  <c r="N15" i="24" s="1"/>
  <c r="I14" i="24"/>
  <c r="N14" i="24" s="1"/>
  <c r="N13" i="24"/>
  <c r="I12" i="24"/>
  <c r="N12" i="24" s="1"/>
  <c r="A27" i="22" l="1"/>
  <c r="A26" i="22"/>
  <c r="J37" i="8"/>
  <c r="F24" i="2"/>
  <c r="F25" i="2" s="1"/>
  <c r="E24" i="2"/>
  <c r="E25" i="2" s="1"/>
  <c r="D24" i="2"/>
  <c r="D25" i="2" s="1"/>
  <c r="C24" i="2"/>
  <c r="C25" i="2" s="1"/>
  <c r="B24" i="2"/>
  <c r="B25" i="2" s="1"/>
  <c r="E10" i="16" l="1"/>
  <c r="D14" i="3"/>
  <c r="C43" i="36"/>
  <c r="P35" i="35" l="1"/>
  <c r="P36" i="35"/>
  <c r="P42" i="35"/>
  <c r="P48" i="35"/>
  <c r="P49" i="35"/>
  <c r="O36" i="35"/>
  <c r="O37" i="35"/>
  <c r="O39" i="35"/>
  <c r="O41" i="35"/>
  <c r="O42" i="35"/>
  <c r="O43" i="35"/>
  <c r="O45" i="35"/>
  <c r="O46" i="35"/>
  <c r="O47" i="35"/>
  <c r="O48" i="35"/>
  <c r="O49" i="35"/>
  <c r="O35" i="35"/>
  <c r="P43" i="35" l="1"/>
  <c r="P45" i="35"/>
  <c r="P38" i="35"/>
  <c r="N49" i="35"/>
  <c r="N47" i="35"/>
  <c r="N45" i="35"/>
  <c r="N43" i="35"/>
  <c r="N41" i="35"/>
  <c r="N39" i="35"/>
  <c r="N37" i="35"/>
  <c r="P46" i="35"/>
  <c r="P39" i="35"/>
  <c r="O44" i="35"/>
  <c r="O40" i="35"/>
  <c r="M35" i="35"/>
  <c r="M49" i="35"/>
  <c r="M48" i="35"/>
  <c r="M47" i="35"/>
  <c r="M46" i="35"/>
  <c r="M45" i="35"/>
  <c r="M44" i="35"/>
  <c r="M43" i="35"/>
  <c r="M42" i="35"/>
  <c r="M41" i="35"/>
  <c r="M40" i="35"/>
  <c r="M39" i="35"/>
  <c r="M38" i="35"/>
  <c r="M37" i="35"/>
  <c r="M36" i="35"/>
  <c r="J43" i="36"/>
  <c r="P44" i="35"/>
  <c r="P40" i="35"/>
  <c r="P42" i="34"/>
  <c r="N46" i="35"/>
  <c r="N42" i="35"/>
  <c r="N38" i="35"/>
  <c r="O38" i="35"/>
  <c r="P41" i="35"/>
  <c r="P37" i="35"/>
  <c r="I43" i="36"/>
  <c r="N48" i="35"/>
  <c r="N44" i="35"/>
  <c r="N40" i="35"/>
  <c r="N36" i="35"/>
  <c r="Q42" i="34"/>
  <c r="C42" i="34"/>
  <c r="N35" i="35"/>
  <c r="D43" i="36"/>
  <c r="K43" i="36"/>
  <c r="L43" i="36"/>
  <c r="G17" i="35"/>
  <c r="G14" i="35"/>
  <c r="G16" i="35"/>
  <c r="F16" i="35"/>
  <c r="L16" i="35" s="1"/>
  <c r="F14" i="35"/>
  <c r="L14" i="35" s="1"/>
  <c r="F12" i="35"/>
  <c r="L12" i="35" s="1"/>
  <c r="G12" i="35"/>
  <c r="G15" i="35"/>
  <c r="F17" i="35"/>
  <c r="L17" i="35" s="1"/>
  <c r="F15" i="35"/>
  <c r="L35" i="35" l="1"/>
  <c r="L39" i="35"/>
  <c r="L47" i="35"/>
  <c r="L48" i="35"/>
  <c r="L38" i="35"/>
  <c r="L40" i="35"/>
  <c r="L41" i="35"/>
  <c r="L45" i="35"/>
  <c r="L49" i="35"/>
  <c r="L46" i="35"/>
  <c r="L42" i="35"/>
  <c r="L44" i="35"/>
  <c r="L37" i="35"/>
  <c r="L43" i="35"/>
  <c r="F50" i="35"/>
  <c r="G43" i="36"/>
  <c r="N43" i="36"/>
  <c r="H43" i="36"/>
  <c r="L36" i="35"/>
  <c r="D10" i="28" l="1"/>
  <c r="K15" i="26"/>
  <c r="C40" i="28" l="1"/>
  <c r="B40" i="28"/>
  <c r="F14" i="40" l="1"/>
  <c r="F18" i="40"/>
  <c r="C19" i="40"/>
  <c r="C33" i="40" s="1"/>
  <c r="E19" i="40"/>
  <c r="E40" i="40" s="1"/>
  <c r="B19" i="40"/>
  <c r="B36" i="40" s="1"/>
  <c r="F15" i="40"/>
  <c r="F13" i="40"/>
  <c r="D19" i="40"/>
  <c r="F12" i="40"/>
  <c r="F16" i="40"/>
  <c r="F17" i="40"/>
  <c r="E39" i="40" l="1"/>
  <c r="C37" i="40"/>
  <c r="C36" i="40"/>
  <c r="C41" i="40"/>
  <c r="B39" i="40"/>
  <c r="B34" i="40"/>
  <c r="B40" i="40"/>
  <c r="B35" i="40"/>
  <c r="B37" i="40"/>
  <c r="C35" i="40"/>
  <c r="B33" i="40"/>
  <c r="E33" i="40"/>
  <c r="C40" i="40"/>
  <c r="C38" i="40"/>
  <c r="C34" i="40"/>
  <c r="B41" i="40"/>
  <c r="C39" i="40"/>
  <c r="B38" i="40"/>
  <c r="E37" i="40"/>
  <c r="E34" i="40"/>
  <c r="E41" i="40"/>
  <c r="E38" i="40"/>
  <c r="E35" i="40"/>
  <c r="E36" i="40"/>
  <c r="D35" i="40"/>
  <c r="D40" i="40"/>
  <c r="D36" i="40"/>
  <c r="D41" i="40"/>
  <c r="D38" i="40"/>
  <c r="D33" i="40"/>
  <c r="D37" i="40"/>
  <c r="D39" i="40"/>
  <c r="F19" i="40"/>
  <c r="D34" i="40"/>
  <c r="A23" i="22"/>
  <c r="A24" i="22"/>
  <c r="A25" i="22"/>
  <c r="A22" i="22"/>
  <c r="F36" i="40" l="1"/>
  <c r="F34" i="40"/>
  <c r="C42" i="40"/>
  <c r="F38" i="40"/>
  <c r="B42" i="40"/>
  <c r="E42" i="40"/>
  <c r="F35" i="40"/>
  <c r="F40" i="40"/>
  <c r="D42" i="40"/>
  <c r="F37" i="40"/>
  <c r="F33" i="40"/>
  <c r="F41" i="40"/>
  <c r="F39" i="40"/>
  <c r="F11" i="22"/>
  <c r="B22" i="22" s="1"/>
  <c r="F16" i="22"/>
  <c r="F12" i="22"/>
  <c r="C23" i="22" s="1"/>
  <c r="F15" i="22"/>
  <c r="F14" i="22"/>
  <c r="F13" i="22"/>
  <c r="D24" i="22" s="1"/>
  <c r="D27" i="22" l="1"/>
  <c r="C27" i="22"/>
  <c r="E27" i="22"/>
  <c r="B27" i="22"/>
  <c r="D26" i="22"/>
  <c r="C26" i="22"/>
  <c r="E26" i="22"/>
  <c r="B26" i="22"/>
  <c r="E25" i="22"/>
  <c r="C25" i="22"/>
  <c r="B25" i="22"/>
  <c r="F42" i="40"/>
  <c r="E24" i="22"/>
  <c r="B24" i="22"/>
  <c r="C22" i="22"/>
  <c r="D23" i="22"/>
  <c r="E22" i="22"/>
  <c r="C24" i="22"/>
  <c r="D22" i="22"/>
  <c r="D25" i="22"/>
  <c r="E23" i="22"/>
  <c r="B23" i="22"/>
  <c r="F26" i="22" l="1"/>
  <c r="F27" i="22"/>
  <c r="F25" i="22"/>
  <c r="F24" i="22"/>
  <c r="F22" i="22"/>
  <c r="F21" i="19" l="1"/>
  <c r="E33" i="15"/>
  <c r="E34" i="15" s="1"/>
  <c r="F33" i="15"/>
  <c r="F34" i="15" s="1"/>
  <c r="J33" i="15"/>
  <c r="J34" i="15" s="1"/>
  <c r="J31" i="8"/>
  <c r="J34" i="8"/>
  <c r="F43" i="19" l="1"/>
  <c r="F40" i="19"/>
  <c r="F42" i="19"/>
  <c r="F41" i="19"/>
  <c r="F39" i="19"/>
  <c r="F32" i="19"/>
  <c r="F38" i="19"/>
  <c r="F37" i="19"/>
  <c r="F36" i="19"/>
  <c r="F35" i="19"/>
  <c r="F34" i="19"/>
  <c r="F33" i="19"/>
  <c r="I33" i="15"/>
  <c r="I34" i="15" s="1"/>
  <c r="B48" i="2"/>
  <c r="B49" i="2" s="1"/>
  <c r="D48" i="2"/>
  <c r="D49" i="2" s="1"/>
  <c r="E48" i="2"/>
  <c r="E49" i="2" s="1"/>
  <c r="C48" i="2"/>
  <c r="C49" i="2" s="1"/>
  <c r="B34" i="15"/>
  <c r="K30" i="15"/>
  <c r="G30" i="15"/>
  <c r="K29" i="15"/>
  <c r="G29" i="15"/>
  <c r="K28" i="15"/>
  <c r="G28" i="15"/>
  <c r="K27" i="15"/>
  <c r="K26" i="15"/>
  <c r="G26" i="15"/>
  <c r="K25" i="15"/>
  <c r="G25" i="15"/>
  <c r="K24" i="15"/>
  <c r="G24" i="15"/>
  <c r="D10" i="16"/>
  <c r="D47" i="16"/>
  <c r="F41" i="9"/>
  <c r="F37" i="9"/>
  <c r="F33" i="9"/>
  <c r="F29" i="9"/>
  <c r="F25" i="9"/>
  <c r="F19" i="9"/>
  <c r="F15" i="9"/>
  <c r="F10" i="18"/>
  <c r="E39" i="18"/>
  <c r="C30" i="15"/>
  <c r="C26" i="15"/>
  <c r="I29" i="15"/>
  <c r="E29" i="15"/>
  <c r="I28" i="15"/>
  <c r="I27" i="15"/>
  <c r="E27" i="15"/>
  <c r="E26" i="15"/>
  <c r="I25" i="15"/>
  <c r="E25" i="15"/>
  <c r="F38" i="9"/>
  <c r="F34" i="9"/>
  <c r="F31" i="9"/>
  <c r="F30" i="9"/>
  <c r="F27" i="9"/>
  <c r="F26" i="9"/>
  <c r="F22" i="9"/>
  <c r="F20" i="9"/>
  <c r="F17" i="9"/>
  <c r="F16" i="9"/>
  <c r="F13" i="9"/>
  <c r="D44" i="7"/>
  <c r="J36" i="8"/>
  <c r="J28" i="8"/>
  <c r="J51" i="8"/>
  <c r="J27" i="8"/>
  <c r="J19" i="8"/>
  <c r="J58" i="8"/>
  <c r="J50" i="8"/>
  <c r="J67" i="8"/>
  <c r="B27" i="15"/>
  <c r="J20" i="8"/>
  <c r="J24" i="15"/>
  <c r="D20" i="16"/>
  <c r="J39" i="8"/>
  <c r="J59" i="8"/>
  <c r="J40" i="8"/>
  <c r="J35" i="8"/>
  <c r="F28" i="15"/>
  <c r="J26" i="15"/>
  <c r="F12" i="9"/>
  <c r="B24" i="15"/>
  <c r="B26" i="15"/>
  <c r="J32" i="8"/>
  <c r="J23" i="8"/>
  <c r="J15" i="8"/>
  <c r="J62" i="8"/>
  <c r="J54" i="8"/>
  <c r="J43" i="8"/>
  <c r="J24" i="8"/>
  <c r="J16" i="8"/>
  <c r="J63" i="8"/>
  <c r="J55" i="8"/>
  <c r="E30" i="15"/>
  <c r="K33" i="15"/>
  <c r="K34" i="15" s="1"/>
  <c r="B42" i="16"/>
  <c r="D46" i="16"/>
  <c r="C48" i="16"/>
  <c r="C15" i="17"/>
  <c r="J42" i="8"/>
  <c r="J41" i="8"/>
  <c r="J30" i="8"/>
  <c r="J26" i="8"/>
  <c r="J22" i="8"/>
  <c r="J18" i="8"/>
  <c r="J14" i="8"/>
  <c r="J61" i="8"/>
  <c r="J57" i="8"/>
  <c r="J53" i="8"/>
  <c r="J49" i="8"/>
  <c r="C24" i="15"/>
  <c r="H30" i="15"/>
  <c r="D30" i="15"/>
  <c r="H29" i="15"/>
  <c r="D29" i="15"/>
  <c r="H28" i="15"/>
  <c r="D28" i="15"/>
  <c r="H27" i="15"/>
  <c r="D27" i="15"/>
  <c r="H26" i="15"/>
  <c r="D26" i="15"/>
  <c r="H25" i="15"/>
  <c r="D25" i="15"/>
  <c r="H24" i="15"/>
  <c r="D24" i="15"/>
  <c r="C27" i="15"/>
  <c r="G44" i="8"/>
  <c r="B30" i="15"/>
  <c r="J47" i="8"/>
  <c r="J30" i="15"/>
  <c r="H33" i="15"/>
  <c r="H34" i="15" s="1"/>
  <c r="E24" i="15"/>
  <c r="C33" i="15"/>
  <c r="C34" i="15" s="1"/>
  <c r="J29" i="8"/>
  <c r="J25" i="8"/>
  <c r="J21" i="8"/>
  <c r="J17" i="8"/>
  <c r="J13" i="8"/>
  <c r="J60" i="8"/>
  <c r="J56" i="8"/>
  <c r="J52" i="8"/>
  <c r="C28" i="15"/>
  <c r="F24" i="15"/>
  <c r="I30" i="15"/>
  <c r="C29" i="15"/>
  <c r="E28" i="15"/>
  <c r="G27" i="15"/>
  <c r="I26" i="15"/>
  <c r="C25" i="15"/>
  <c r="D33" i="15"/>
  <c r="D34" i="15" s="1"/>
  <c r="D14" i="17"/>
  <c r="E14" i="17" s="1"/>
  <c r="E36" i="18"/>
  <c r="J68" i="8"/>
  <c r="J33" i="8"/>
  <c r="B29" i="15"/>
  <c r="B25" i="15"/>
  <c r="J29" i="15"/>
  <c r="F29" i="15"/>
  <c r="J27" i="15"/>
  <c r="F27" i="15"/>
  <c r="J25" i="15"/>
  <c r="F25" i="15"/>
  <c r="I24" i="15"/>
  <c r="F30" i="15"/>
  <c r="J28" i="15"/>
  <c r="B28" i="15"/>
  <c r="F26" i="15"/>
  <c r="G33" i="15"/>
  <c r="G34" i="15" s="1"/>
  <c r="J12" i="8"/>
  <c r="F39" i="9"/>
  <c r="F35" i="9"/>
  <c r="F40" i="9"/>
  <c r="F36" i="9"/>
  <c r="F32" i="9"/>
  <c r="F28" i="9"/>
  <c r="F24" i="9"/>
  <c r="F18" i="9"/>
  <c r="F14" i="9"/>
  <c r="B23" i="16"/>
  <c r="F14" i="18"/>
  <c r="F39" i="18"/>
  <c r="F37" i="18"/>
  <c r="F12" i="18"/>
  <c r="E16" i="18"/>
  <c r="E13" i="18"/>
  <c r="E29" i="18"/>
  <c r="E30" i="18"/>
  <c r="F20" i="18"/>
  <c r="F16" i="18"/>
  <c r="F15" i="18"/>
  <c r="E38" i="18"/>
  <c r="F41" i="18"/>
  <c r="E40" i="18"/>
  <c r="F40" i="18"/>
  <c r="F38" i="18"/>
  <c r="E31" i="18"/>
  <c r="F30" i="18"/>
  <c r="F29" i="18"/>
  <c r="F22" i="18"/>
  <c r="D30" i="16"/>
  <c r="F10" i="16"/>
  <c r="B17" i="16"/>
  <c r="B48" i="16"/>
  <c r="C23" i="16"/>
  <c r="C17" i="16"/>
  <c r="D12" i="16"/>
  <c r="D45" i="16"/>
  <c r="C42" i="16"/>
  <c r="E14" i="18"/>
  <c r="E10" i="18"/>
  <c r="F13" i="18"/>
  <c r="E12" i="18"/>
  <c r="E20" i="18"/>
  <c r="E22" i="18"/>
  <c r="E37" i="18"/>
  <c r="E41" i="18"/>
  <c r="E11" i="18"/>
  <c r="E15" i="18"/>
  <c r="E21" i="18"/>
  <c r="E28" i="18"/>
  <c r="F11" i="18"/>
  <c r="F21" i="18"/>
  <c r="F28" i="18"/>
  <c r="F36" i="18"/>
  <c r="C64" i="12"/>
  <c r="F12" i="11"/>
  <c r="J44" i="8" l="1"/>
  <c r="J64" i="8"/>
  <c r="D17" i="16"/>
  <c r="D48" i="16"/>
  <c r="D23" i="16"/>
  <c r="D32" i="16"/>
  <c r="D42" i="16"/>
  <c r="B50" i="16"/>
  <c r="B52" i="16" s="1"/>
  <c r="D17" i="18"/>
  <c r="M24" i="15"/>
  <c r="O24" i="15"/>
  <c r="M33" i="15"/>
  <c r="M34" i="15" s="1"/>
  <c r="O33" i="15"/>
  <c r="C50" i="16"/>
  <c r="C52" i="16" s="1"/>
  <c r="F14" i="17"/>
  <c r="L33" i="15"/>
  <c r="L34" i="15" s="1"/>
  <c r="L24" i="15"/>
  <c r="E32" i="18"/>
  <c r="F17" i="18"/>
  <c r="F42" i="18"/>
  <c r="F32" i="18"/>
  <c r="E17" i="18"/>
  <c r="E23" i="18"/>
  <c r="F23" i="18"/>
  <c r="E42" i="18"/>
  <c r="N24" i="15" l="1"/>
  <c r="F44" i="18"/>
  <c r="E44" i="18"/>
  <c r="I73" i="7" l="1"/>
  <c r="I68" i="7"/>
  <c r="I69" i="7"/>
  <c r="I49" i="7"/>
  <c r="I51" i="7"/>
  <c r="I52" i="7"/>
  <c r="I55" i="7"/>
  <c r="I56" i="7"/>
  <c r="I62" i="7"/>
  <c r="I47" i="7"/>
  <c r="I31" i="7"/>
  <c r="I35" i="7"/>
  <c r="I39" i="7"/>
  <c r="I43" i="7"/>
  <c r="I13" i="7"/>
  <c r="I17" i="7"/>
  <c r="I21" i="7"/>
  <c r="I25" i="7"/>
  <c r="I29" i="7"/>
  <c r="I33" i="7"/>
  <c r="I37" i="7"/>
  <c r="I41" i="7"/>
  <c r="I60" i="7" l="1"/>
  <c r="I42" i="7"/>
  <c r="I38" i="7"/>
  <c r="I34" i="7"/>
  <c r="I30" i="7"/>
  <c r="I26" i="7"/>
  <c r="I22" i="7"/>
  <c r="I18" i="7"/>
  <c r="I14" i="7"/>
  <c r="I12" i="7"/>
  <c r="I40" i="7"/>
  <c r="I36" i="7"/>
  <c r="I32" i="7"/>
  <c r="I28" i="7"/>
  <c r="I24" i="7"/>
  <c r="I20" i="7"/>
  <c r="I16" i="7"/>
  <c r="I27" i="7"/>
  <c r="I23" i="7"/>
  <c r="I19" i="7"/>
  <c r="I15" i="7"/>
  <c r="C44" i="7"/>
  <c r="E44" i="7"/>
  <c r="I61" i="7"/>
  <c r="I67" i="7"/>
  <c r="I57" i="7"/>
  <c r="I58" i="7"/>
  <c r="B14" i="3"/>
  <c r="I53" i="7"/>
  <c r="F44" i="7"/>
  <c r="I63" i="7"/>
  <c r="I54" i="7"/>
  <c r="I59" i="7"/>
  <c r="I50" i="7"/>
  <c r="I48" i="7"/>
  <c r="I44" i="7" l="1"/>
  <c r="E44" i="2" l="1"/>
  <c r="E45" i="2" s="1"/>
  <c r="D44" i="2"/>
  <c r="D45" i="2" s="1"/>
  <c r="C44" i="2"/>
  <c r="C45" i="2" s="1"/>
  <c r="B44" i="2"/>
  <c r="B45" i="2" s="1"/>
  <c r="G10" i="2" l="1"/>
  <c r="I10" i="2" s="1"/>
  <c r="F43" i="36" l="1"/>
  <c r="E43" i="36"/>
  <c r="K50" i="35"/>
  <c r="J50" i="35"/>
  <c r="I50" i="35"/>
  <c r="H50" i="35"/>
  <c r="E50" i="35"/>
  <c r="D50" i="35"/>
  <c r="B50" i="35"/>
  <c r="O42" i="34"/>
  <c r="N42" i="34"/>
  <c r="M42" i="34"/>
  <c r="L42" i="34"/>
  <c r="K42" i="34"/>
  <c r="J42" i="34"/>
  <c r="I42" i="34"/>
  <c r="H42" i="34"/>
  <c r="G42" i="34"/>
  <c r="F42" i="34"/>
  <c r="E42" i="34"/>
  <c r="D42" i="34"/>
  <c r="O43" i="36" l="1"/>
  <c r="O50" i="35"/>
  <c r="P50" i="35"/>
  <c r="M50" i="35"/>
  <c r="M43" i="36"/>
  <c r="L50" i="35"/>
  <c r="N50" i="35"/>
  <c r="E21" i="19" l="1"/>
  <c r="D21" i="19"/>
  <c r="C21" i="19"/>
  <c r="B21" i="19"/>
  <c r="D12" i="17"/>
  <c r="E48" i="16"/>
  <c r="F47" i="16"/>
  <c r="E47" i="16"/>
  <c r="F46" i="16"/>
  <c r="E46" i="16"/>
  <c r="F45" i="16"/>
  <c r="E45" i="16"/>
  <c r="F41" i="16"/>
  <c r="E41" i="16"/>
  <c r="D41" i="16"/>
  <c r="F40" i="16"/>
  <c r="E40" i="16"/>
  <c r="D40" i="16"/>
  <c r="F39" i="16"/>
  <c r="E39" i="16"/>
  <c r="D39" i="16"/>
  <c r="F38" i="16"/>
  <c r="E38" i="16"/>
  <c r="D38" i="16"/>
  <c r="F37" i="16"/>
  <c r="E37" i="16"/>
  <c r="D37" i="16"/>
  <c r="F36" i="16"/>
  <c r="E36" i="16"/>
  <c r="D36" i="16"/>
  <c r="F35" i="16"/>
  <c r="E35" i="16"/>
  <c r="D35" i="16"/>
  <c r="F31" i="16"/>
  <c r="D31" i="16"/>
  <c r="F30" i="16"/>
  <c r="E30" i="16"/>
  <c r="F29" i="16"/>
  <c r="E29" i="16"/>
  <c r="D29" i="16"/>
  <c r="F28" i="16"/>
  <c r="E28" i="16"/>
  <c r="D28" i="16"/>
  <c r="F27" i="16"/>
  <c r="E27" i="16"/>
  <c r="D27" i="16"/>
  <c r="F22" i="16"/>
  <c r="E22" i="16"/>
  <c r="D22" i="16"/>
  <c r="F21" i="16"/>
  <c r="D21" i="16"/>
  <c r="F20" i="16"/>
  <c r="E20" i="16"/>
  <c r="F16" i="16"/>
  <c r="E16" i="16"/>
  <c r="D16" i="16"/>
  <c r="F15" i="16"/>
  <c r="E15" i="16"/>
  <c r="D15" i="16"/>
  <c r="F14" i="16"/>
  <c r="E14" i="16"/>
  <c r="D14" i="16"/>
  <c r="F13" i="16"/>
  <c r="E13" i="16"/>
  <c r="D13" i="16"/>
  <c r="F12" i="16"/>
  <c r="E12" i="16"/>
  <c r="F11" i="16"/>
  <c r="E11" i="16"/>
  <c r="D11" i="16"/>
  <c r="A30" i="15"/>
  <c r="A29" i="15"/>
  <c r="A28" i="15"/>
  <c r="A27" i="15"/>
  <c r="A26" i="15"/>
  <c r="A25" i="15"/>
  <c r="A24" i="15"/>
  <c r="C70" i="12"/>
  <c r="F44" i="12"/>
  <c r="E44" i="12"/>
  <c r="D44" i="12"/>
  <c r="C44" i="12"/>
  <c r="E44" i="11"/>
  <c r="E9" i="11" s="1"/>
  <c r="D44" i="11"/>
  <c r="D9" i="11" s="1"/>
  <c r="C44" i="11"/>
  <c r="C9" i="11" s="1"/>
  <c r="F43"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J29" i="10"/>
  <c r="I22" i="10"/>
  <c r="H22" i="10"/>
  <c r="G22" i="10"/>
  <c r="F22" i="10"/>
  <c r="E22" i="10"/>
  <c r="D22" i="10"/>
  <c r="C22" i="10"/>
  <c r="J26" i="10"/>
  <c r="J25" i="10"/>
  <c r="J24" i="10"/>
  <c r="E44" i="9"/>
  <c r="E9" i="9" s="1"/>
  <c r="D44" i="9"/>
  <c r="D9" i="9" s="1"/>
  <c r="C44" i="9"/>
  <c r="C9" i="9" s="1"/>
  <c r="I70" i="8"/>
  <c r="H70" i="8"/>
  <c r="G70" i="8"/>
  <c r="F70" i="8"/>
  <c r="E70" i="8"/>
  <c r="D70" i="8"/>
  <c r="C70" i="8"/>
  <c r="J69" i="8"/>
  <c r="I64" i="8"/>
  <c r="H64" i="8"/>
  <c r="G64" i="8"/>
  <c r="F64" i="8"/>
  <c r="D64" i="8"/>
  <c r="C64" i="8"/>
  <c r="H44" i="8"/>
  <c r="F44" i="8"/>
  <c r="E44" i="8"/>
  <c r="D44" i="8"/>
  <c r="C44" i="8"/>
  <c r="I70" i="7"/>
  <c r="H70" i="7"/>
  <c r="G70" i="7"/>
  <c r="F70" i="7"/>
  <c r="E70" i="7"/>
  <c r="D70" i="7"/>
  <c r="C70" i="7"/>
  <c r="I64" i="7"/>
  <c r="H64" i="7"/>
  <c r="G64" i="7"/>
  <c r="F64" i="7"/>
  <c r="E64" i="7"/>
  <c r="D64" i="7"/>
  <c r="C64" i="7"/>
  <c r="H44" i="7"/>
  <c r="G44" i="7"/>
  <c r="E14" i="3"/>
  <c r="F14" i="3"/>
  <c r="G15" i="2"/>
  <c r="I15" i="2" s="1"/>
  <c r="G14" i="2"/>
  <c r="I14" i="2" s="1"/>
  <c r="G13" i="2"/>
  <c r="I13" i="2" s="1"/>
  <c r="G12" i="2"/>
  <c r="G11" i="2"/>
  <c r="I11" i="2" s="1"/>
  <c r="B42" i="19" l="1"/>
  <c r="B41" i="19"/>
  <c r="B43" i="19"/>
  <c r="B40" i="19"/>
  <c r="D42" i="19"/>
  <c r="D41" i="19"/>
  <c r="D43" i="19"/>
  <c r="D40" i="19"/>
  <c r="E42" i="19"/>
  <c r="E43" i="19"/>
  <c r="E40" i="19"/>
  <c r="E41" i="19"/>
  <c r="C42" i="19"/>
  <c r="C41" i="19"/>
  <c r="C43" i="19"/>
  <c r="C40" i="19"/>
  <c r="E32" i="19"/>
  <c r="E39" i="19"/>
  <c r="E33" i="19"/>
  <c r="E38" i="19"/>
  <c r="E34" i="19"/>
  <c r="E36" i="19"/>
  <c r="E35" i="19"/>
  <c r="E37" i="19"/>
  <c r="B38" i="19"/>
  <c r="B33" i="19"/>
  <c r="B39" i="19"/>
  <c r="B37" i="19"/>
  <c r="B36" i="19"/>
  <c r="B35" i="19"/>
  <c r="B34" i="19"/>
  <c r="B32" i="19"/>
  <c r="D35" i="19"/>
  <c r="D32" i="19"/>
  <c r="D37" i="19"/>
  <c r="D36" i="19"/>
  <c r="D34" i="19"/>
  <c r="D39" i="19"/>
  <c r="D33" i="19"/>
  <c r="D38" i="19"/>
  <c r="C37" i="19"/>
  <c r="C33" i="19"/>
  <c r="C32" i="19"/>
  <c r="C35" i="19"/>
  <c r="C34" i="19"/>
  <c r="C39" i="19"/>
  <c r="C36" i="19"/>
  <c r="C38" i="19"/>
  <c r="F44" i="11"/>
  <c r="F9" i="11" s="1"/>
  <c r="E9" i="7"/>
  <c r="D9" i="7"/>
  <c r="F9" i="7"/>
  <c r="C9" i="7"/>
  <c r="I12" i="2"/>
  <c r="I24" i="2" s="1"/>
  <c r="I25" i="2" s="1"/>
  <c r="G24" i="2"/>
  <c r="G25" i="2" s="1"/>
  <c r="F23" i="22"/>
  <c r="I9" i="7"/>
  <c r="E12" i="17"/>
  <c r="F12" i="17"/>
  <c r="M27" i="15"/>
  <c r="L26" i="15"/>
  <c r="L30" i="15"/>
  <c r="H9" i="8"/>
  <c r="C9" i="8"/>
  <c r="D9" i="8"/>
  <c r="H9" i="7"/>
  <c r="G9" i="7"/>
  <c r="H12" i="3"/>
  <c r="E9" i="8"/>
  <c r="I9" i="8"/>
  <c r="F44" i="9"/>
  <c r="F9" i="9" s="1"/>
  <c r="F44" i="19"/>
  <c r="E17" i="16"/>
  <c r="F48" i="16"/>
  <c r="F42" i="16"/>
  <c r="F32" i="16"/>
  <c r="E23" i="16"/>
  <c r="N28" i="15"/>
  <c r="M29" i="15"/>
  <c r="G9" i="8"/>
  <c r="C14" i="3"/>
  <c r="M25" i="15"/>
  <c r="F9" i="8"/>
  <c r="J70" i="8"/>
  <c r="J9" i="8" s="1"/>
  <c r="L27" i="15"/>
  <c r="M28" i="15"/>
  <c r="O34" i="15"/>
  <c r="E42" i="16"/>
  <c r="J27" i="10"/>
  <c r="J22" i="10" s="1"/>
  <c r="L28" i="15"/>
  <c r="E32" i="16"/>
  <c r="B15" i="17"/>
  <c r="D15" i="17" s="1"/>
  <c r="L25" i="15"/>
  <c r="M26" i="15"/>
  <c r="L29" i="15"/>
  <c r="F23" i="16"/>
  <c r="G21" i="19"/>
  <c r="D11" i="17"/>
  <c r="D13" i="17"/>
  <c r="D10" i="17"/>
  <c r="F17" i="16"/>
  <c r="O28" i="15"/>
  <c r="N25" i="15"/>
  <c r="N26" i="15"/>
  <c r="O30" i="15"/>
  <c r="M30" i="15"/>
  <c r="H13" i="3"/>
  <c r="H10" i="3"/>
  <c r="H11" i="3"/>
  <c r="G42" i="19" l="1"/>
  <c r="G43" i="19"/>
  <c r="G41" i="19"/>
  <c r="G40" i="19"/>
  <c r="G34" i="19"/>
  <c r="G35" i="19"/>
  <c r="G38" i="19"/>
  <c r="G39" i="19"/>
  <c r="G37" i="19"/>
  <c r="G32" i="19"/>
  <c r="G33" i="19"/>
  <c r="G36" i="19"/>
  <c r="C44" i="19"/>
  <c r="D44" i="19"/>
  <c r="E44" i="19"/>
  <c r="B44" i="19"/>
  <c r="G11" i="17"/>
  <c r="E11" i="17"/>
  <c r="F11" i="17"/>
  <c r="G15" i="17"/>
  <c r="G14" i="17"/>
  <c r="G13" i="17"/>
  <c r="F13" i="17"/>
  <c r="E13" i="17"/>
  <c r="G12" i="17"/>
  <c r="G10" i="17"/>
  <c r="F10" i="17"/>
  <c r="E10" i="17"/>
  <c r="N27" i="15"/>
  <c r="N29" i="15"/>
  <c r="G14" i="3"/>
  <c r="D50" i="16"/>
  <c r="O25" i="15"/>
  <c r="E50" i="16"/>
  <c r="O26" i="15"/>
  <c r="H21" i="19"/>
  <c r="F15" i="17"/>
  <c r="E15" i="17"/>
  <c r="F52" i="16"/>
  <c r="F50" i="16"/>
  <c r="O27" i="15"/>
  <c r="N30" i="15"/>
  <c r="N33" i="15"/>
  <c r="N34" i="15" s="1"/>
  <c r="O29" i="15"/>
  <c r="H14" i="3"/>
  <c r="J14" i="3" s="1"/>
  <c r="H42" i="19" l="1"/>
  <c r="H43" i="19"/>
  <c r="H40" i="19"/>
  <c r="H41" i="19"/>
  <c r="H35" i="19"/>
  <c r="H32" i="19"/>
  <c r="H39" i="19"/>
  <c r="H38" i="19"/>
  <c r="H36" i="19"/>
  <c r="H37" i="19"/>
  <c r="H34" i="19"/>
  <c r="H33" i="19"/>
  <c r="I14" i="3"/>
  <c r="I10" i="3"/>
  <c r="I13" i="3"/>
  <c r="I12" i="3"/>
  <c r="I11" i="3"/>
  <c r="G44" i="19"/>
  <c r="J12" i="3"/>
  <c r="J11" i="3"/>
  <c r="J13" i="3"/>
  <c r="J10" i="3"/>
  <c r="E52" i="16"/>
  <c r="D52" i="16"/>
  <c r="H44" i="19" l="1"/>
</calcChain>
</file>

<file path=xl/sharedStrings.xml><?xml version="1.0" encoding="utf-8"?>
<sst xmlns="http://schemas.openxmlformats.org/spreadsheetml/2006/main" count="17272" uniqueCount="1068">
  <si>
    <t>(formerly Fire and Rescue Service Statistics Scotland)</t>
  </si>
  <si>
    <t>Year</t>
  </si>
  <si>
    <t>Control</t>
  </si>
  <si>
    <t>Support</t>
  </si>
  <si>
    <t>All staff total</t>
  </si>
  <si>
    <t>All staff (excluding volunteers)</t>
  </si>
  <si>
    <t>Number</t>
  </si>
  <si>
    <t>Percentage</t>
  </si>
  <si>
    <t>Notes</t>
  </si>
  <si>
    <t>RDS</t>
  </si>
  <si>
    <t>All Staff Total</t>
  </si>
  <si>
    <t xml:space="preserve">All Staff (excl. volunteers) </t>
  </si>
  <si>
    <t>All Staff (excl. volunteers)</t>
  </si>
  <si>
    <t xml:space="preserve">Local Authority Area </t>
  </si>
  <si>
    <t xml:space="preserve">Local Senior Officer Area </t>
  </si>
  <si>
    <t>Service Delivery Area</t>
  </si>
  <si>
    <t>National</t>
  </si>
  <si>
    <t>SCOTLAND (total)</t>
  </si>
  <si>
    <t>Area Manager</t>
  </si>
  <si>
    <t>Group Manager</t>
  </si>
  <si>
    <t>Station Manager</t>
  </si>
  <si>
    <t>Watch Manager</t>
  </si>
  <si>
    <t>Crew Manager</t>
  </si>
  <si>
    <t>Firefighter</t>
  </si>
  <si>
    <t>Wholetime Operational Staff Total</t>
  </si>
  <si>
    <t>Wholetime Operational Staff</t>
  </si>
  <si>
    <t>Total</t>
  </si>
  <si>
    <t>Wholetime Operational</t>
  </si>
  <si>
    <t>Retained Duty System</t>
  </si>
  <si>
    <t>Volunteer</t>
  </si>
  <si>
    <t>Local Authority Area</t>
  </si>
  <si>
    <t>Aberdeen City</t>
  </si>
  <si>
    <t>Aberdeenshire</t>
  </si>
  <si>
    <t>Angus</t>
  </si>
  <si>
    <t>Argyll and Bute</t>
  </si>
  <si>
    <t>Clackmannanshire</t>
  </si>
  <si>
    <t>Dumfries and Galloway</t>
  </si>
  <si>
    <t>Dundee City</t>
  </si>
  <si>
    <t>East Ayrshire</t>
  </si>
  <si>
    <t>East Dunbartonshire</t>
  </si>
  <si>
    <t>East Lothian</t>
  </si>
  <si>
    <t>East Renfrewshire</t>
  </si>
  <si>
    <t>Falkirk</t>
  </si>
  <si>
    <t>Fife</t>
  </si>
  <si>
    <t>Highland</t>
  </si>
  <si>
    <t>Inverclyde</t>
  </si>
  <si>
    <t>Midlothian</t>
  </si>
  <si>
    <t>Moray</t>
  </si>
  <si>
    <t>Na h-Eileanan Siar</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</si>
  <si>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</si>
  <si>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</si>
  <si>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</si>
  <si>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</si>
  <si>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</si>
  <si>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</si>
  <si>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</si>
  <si>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</si>
  <si>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</si>
  <si>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</si>
  <si>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</si>
  <si>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</si>
  <si>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Local Authority Area (total)</t>
  </si>
  <si>
    <t>Local Senior Officer Area</t>
  </si>
  <si>
    <t xml:space="preserve">Aberdeen City </t>
  </si>
  <si>
    <t>Aberdeenshire and Moray</t>
  </si>
  <si>
    <t>Argyll and Bute, East Dunbartonshire and West Dunbartonshire</t>
  </si>
  <si>
    <t xml:space="preserve">Dumfries and Galloway </t>
  </si>
  <si>
    <t>Dundee, Angus, Perth and Kinross</t>
  </si>
  <si>
    <t>East Ayrshire, North Ayrshire and South Ayrshire</t>
  </si>
  <si>
    <t>East Lothian, Midlothian and the Scottish Borders</t>
  </si>
  <si>
    <t>East Renfrewshire, Renfrewshire and Inverclyde</t>
  </si>
  <si>
    <t>Falkirk and West Lothian</t>
  </si>
  <si>
    <t>Highlands</t>
  </si>
  <si>
    <t>Stirling and Clackmannanshire</t>
  </si>
  <si>
    <t>Western Isles, Orkney and Shetland Islands</t>
  </si>
  <si>
    <t>Local Senior Officer Area (total)</t>
  </si>
  <si>
    <t>Service Delivery Area (SDA)</t>
  </si>
  <si>
    <t>SDA East</t>
  </si>
  <si>
    <t>SDA North</t>
  </si>
  <si>
    <t>SDA West</t>
  </si>
  <si>
    <t>Service Delivery Area (total)</t>
  </si>
  <si>
    <t>National Level</t>
  </si>
  <si>
    <t>Scotland Total</t>
  </si>
  <si>
    <t>Control Operator</t>
  </si>
  <si>
    <t>Service Manager</t>
  </si>
  <si>
    <t>Team 
Leader</t>
  </si>
  <si>
    <t>Professional</t>
  </si>
  <si>
    <t>Specialist/ Technical</t>
  </si>
  <si>
    <t>Technical Support</t>
  </si>
  <si>
    <t>Admin-istration</t>
  </si>
  <si>
    <t>Team Leader</t>
  </si>
  <si>
    <t>Headcount</t>
  </si>
  <si>
    <t>Wholetime operational</t>
  </si>
  <si>
    <t>Support Staff</t>
  </si>
  <si>
    <t>Total (excluding volunteers)</t>
  </si>
  <si>
    <t>Female</t>
  </si>
  <si>
    <t>Male</t>
  </si>
  <si>
    <t>Retained Duty System (total)</t>
  </si>
  <si>
    <t xml:space="preserve">Control </t>
  </si>
  <si>
    <t>Control (total)</t>
  </si>
  <si>
    <t>Specialist/Technical</t>
  </si>
  <si>
    <t>Administration</t>
  </si>
  <si>
    <t>Support Staff (total)</t>
  </si>
  <si>
    <t>Volunteer (total)</t>
  </si>
  <si>
    <t>All Staff (total)</t>
  </si>
  <si>
    <t>All Staff (excluding volunteers)</t>
  </si>
  <si>
    <t xml:space="preserve"> </t>
  </si>
  <si>
    <t>All Staff</t>
  </si>
  <si>
    <t>20-24</t>
  </si>
  <si>
    <t>25-29</t>
  </si>
  <si>
    <t>30-34</t>
  </si>
  <si>
    <t>35-39</t>
  </si>
  <si>
    <t>40-44</t>
  </si>
  <si>
    <t>45-49</t>
  </si>
  <si>
    <t>50-54</t>
  </si>
  <si>
    <t>55-59</t>
  </si>
  <si>
    <t>60-64</t>
  </si>
  <si>
    <t>65-69</t>
  </si>
  <si>
    <t>70-74</t>
  </si>
  <si>
    <t>Total
(excl volunteers)</t>
  </si>
  <si>
    <t>White</t>
  </si>
  <si>
    <t>Ethnic Minority</t>
  </si>
  <si>
    <t>Wholetime</t>
  </si>
  <si>
    <t>Local Authority</t>
  </si>
  <si>
    <t>Glasgow City</t>
  </si>
  <si>
    <t>Pumping Appliances</t>
  </si>
  <si>
    <t>Reserve Appliances</t>
  </si>
  <si>
    <t>Training Appliances</t>
  </si>
  <si>
    <t>Type of Attack</t>
  </si>
  <si>
    <t>Total attacks</t>
  </si>
  <si>
    <t>HFSV with alarms installed</t>
  </si>
  <si>
    <t>Total HFSV</t>
  </si>
  <si>
    <t>New</t>
  </si>
  <si>
    <t>Replacement</t>
  </si>
  <si>
    <t>Rate</t>
  </si>
  <si>
    <t>HFSV - advice only</t>
  </si>
  <si>
    <t xml:space="preserve">Total HFSV </t>
  </si>
  <si>
    <t>Smoke alarms installed</t>
  </si>
  <si>
    <t>HFSV
 - alarms installed</t>
  </si>
  <si>
    <t>HFSV
 - advice only</t>
  </si>
  <si>
    <t>Smoke alarms installed during HFSV</t>
  </si>
  <si>
    <t xml:space="preserve">Rate of alarms installed </t>
  </si>
  <si>
    <t>HFSV - 
alarms installed</t>
  </si>
  <si>
    <t>HFSV - 
advice only</t>
  </si>
  <si>
    <t>All visits</t>
  </si>
  <si>
    <t>Premises type</t>
  </si>
  <si>
    <t>Hospital / Prison</t>
  </si>
  <si>
    <t>Care Home</t>
  </si>
  <si>
    <t>Hostel</t>
  </si>
  <si>
    <t>Hotel</t>
  </si>
  <si>
    <t>Other Sleeping Accommodation</t>
  </si>
  <si>
    <t>Further Education</t>
  </si>
  <si>
    <t>Public Building</t>
  </si>
  <si>
    <t>Licensed Premises</t>
  </si>
  <si>
    <t>School</t>
  </si>
  <si>
    <t>Shop</t>
  </si>
  <si>
    <t>Other Premises Open to Public</t>
  </si>
  <si>
    <t>Factory or Warehouse</t>
  </si>
  <si>
    <t>Office</t>
  </si>
  <si>
    <t>Other workplace</t>
  </si>
  <si>
    <t>Total audits without HMOs</t>
  </si>
  <si>
    <t>Total audits including HMOs</t>
  </si>
  <si>
    <t>Hospital/ Prison</t>
  </si>
  <si>
    <t>HMO</t>
  </si>
  <si>
    <t>Other Sleeping Accom.</t>
  </si>
  <si>
    <t>Total audits</t>
  </si>
  <si>
    <t>Enforcement Notice</t>
  </si>
  <si>
    <t>Prohibition Notice</t>
  </si>
  <si>
    <t>Average time (hours)</t>
  </si>
  <si>
    <t>Hours</t>
  </si>
  <si>
    <t>Audits</t>
  </si>
  <si>
    <t>Percentage of Type A</t>
  </si>
  <si>
    <t>Enforcement notices</t>
  </si>
  <si>
    <t>Type of Premises</t>
  </si>
  <si>
    <t>Total hours</t>
  </si>
  <si>
    <t>North</t>
  </si>
  <si>
    <t>West</t>
  </si>
  <si>
    <t>East</t>
  </si>
  <si>
    <t>Edinburgh City</t>
  </si>
  <si>
    <t xml:space="preserve"> Wholetime Operational</t>
  </si>
  <si>
    <t>Wholetime Operational - Number</t>
  </si>
  <si>
    <t>Wholetime Operational - Percent</t>
  </si>
  <si>
    <t>RDS - Number</t>
  </si>
  <si>
    <t>RDS - Percent</t>
  </si>
  <si>
    <t>Control - Number</t>
  </si>
  <si>
    <t>Control - Percent</t>
  </si>
  <si>
    <t>&lt;5</t>
  </si>
  <si>
    <t>5-9</t>
  </si>
  <si>
    <t>10-14</t>
  </si>
  <si>
    <t>15-19</t>
  </si>
  <si>
    <t>&gt;40</t>
  </si>
  <si>
    <t>Service Length (Years)</t>
  </si>
  <si>
    <t>Aerial Appliances</t>
  </si>
  <si>
    <t>Other Appliances</t>
  </si>
  <si>
    <t>Resilience</t>
  </si>
  <si>
    <t>Consultations</t>
  </si>
  <si>
    <t>Alterations Notice</t>
  </si>
  <si>
    <t>Prohibition Notices</t>
  </si>
  <si>
    <t>Retained</t>
  </si>
  <si>
    <t>All</t>
  </si>
  <si>
    <t>Non-Operational</t>
  </si>
  <si>
    <t>Vehicles for Rescue Work</t>
  </si>
  <si>
    <t>Small Firefighting Vehicles</t>
  </si>
  <si>
    <t>Other</t>
  </si>
  <si>
    <t>Total Vehicles (incl. boats)</t>
  </si>
  <si>
    <t>2015-16</t>
  </si>
  <si>
    <t>2014-15</t>
  </si>
  <si>
    <t>2013-14</t>
  </si>
  <si>
    <t>2012-13</t>
  </si>
  <si>
    <t>Vehicles Primarily for Rescue Work</t>
  </si>
  <si>
    <t>Operational Total</t>
  </si>
  <si>
    <t>Chart 3b: Scottish Fire and Rescue Service Headcount by Service Length and Type of Staffing</t>
  </si>
  <si>
    <t>Brigade Manager</t>
  </si>
  <si>
    <t>Director</t>
  </si>
  <si>
    <t>Age Range</t>
  </si>
  <si>
    <t>Age range</t>
  </si>
  <si>
    <t>Operational</t>
  </si>
  <si>
    <t>Fire Boats</t>
  </si>
  <si>
    <t>Officer Response Vehicles</t>
  </si>
  <si>
    <t>Of the smoke alarms installed</t>
  </si>
  <si>
    <t xml:space="preserve"> - Workforce</t>
  </si>
  <si>
    <t xml:space="preserve">In 2014 SFRS could not return suitable fire safety data and the statistics were not published.  </t>
  </si>
  <si>
    <t>Area</t>
  </si>
  <si>
    <t xml:space="preserve">Other Operational </t>
  </si>
  <si>
    <t xml:space="preserve"> - Home Fire Safety Visits</t>
  </si>
  <si>
    <t>National.Statistics@firescotland.gov.uk</t>
  </si>
  <si>
    <t xml:space="preserve">  Watch manager</t>
  </si>
  <si>
    <t xml:space="preserve">  Crew Manager</t>
  </si>
  <si>
    <t xml:space="preserve">  Firefighter</t>
  </si>
  <si>
    <t>FTE is not calculated for Volunteers.</t>
  </si>
  <si>
    <t>Full Time Equivalent (FTE) counts the ratio of a staff member’s contracted working hours to the standard contract hours for that staff group.</t>
  </si>
  <si>
    <t>The statistics are rounded after they are calculated.</t>
  </si>
  <si>
    <t>The Brigade Manager category had included Deputy Assistant Chief Officers (DACOs) in 2014-15 and 2015-16.  This has now been amended so that DACOs are included in the Area manager category and Brigade Manager now includes only Chief Officer, Deputy Chief Officer and Assistant Chief Officer.</t>
  </si>
  <si>
    <t>Support staff sub-categories changed in 2013-14 to reflect the sub-categories used in the new organisational structure of the Scottish Fire and Rescue Service.</t>
  </si>
  <si>
    <t xml:space="preserve">Until the 2015-16 statistics the Director category in Support Staff had been included in the Service Manager category.  From the 2015-16 publication this has been presented in a separate category. Comparisons with former statistics can be made by adding the Director category to the Service Manager category.  </t>
  </si>
  <si>
    <t>Grey shaded cells indicate where area breakdown by staff type is not applicable.</t>
  </si>
  <si>
    <t>All control staff are reported nationally for these statistics.</t>
  </si>
  <si>
    <t>All volunteer staff are reported at Local Authority Area for these statistics.</t>
  </si>
  <si>
    <t>Retirement age varies according to type of staffing and individual circumstance.</t>
  </si>
  <si>
    <t>Service Length counts the number of full years spent in public service. It is possible for staff to move between Fire and Rescue Services within the UK and keep their accrued service length.</t>
  </si>
  <si>
    <t>Percentages are calculated based on headcount.</t>
  </si>
  <si>
    <t>A count of Operatioal Fire Boats could not be provided in 2013-14.</t>
  </si>
  <si>
    <t>Operational Boats are provided at national level only.</t>
  </si>
  <si>
    <t>Workflow refers to all of the work completed related to non-domestic property. Workflows are counted according to the financial year in which they are fully completed.</t>
  </si>
  <si>
    <t xml:space="preserve">In 2013-14 the fire safety audit data was not included in the publication due to quality and completeness concerns.  </t>
  </si>
  <si>
    <t>Where a premise had multiple owners who each received a formal Notice, this has been counted only once. The figure therefore reflects the number of unique buildings where a notice has been issued by financial year.</t>
  </si>
  <si>
    <t xml:space="preserve">For enquiries or feedback please contact - </t>
  </si>
  <si>
    <t>The merger of HR data from the former Scottish Fire and Rescue services in 2013-14 led to a reduction in reliable ethnicity data for staff. Improvements over recent years stem from data collection on new staff and through the provision of an employee digital self-service tool for HR data.</t>
  </si>
  <si>
    <t>All Retained Duty System staff are reported at Local Authority Area for these statistics.</t>
  </si>
  <si>
    <t>FinYear</t>
  </si>
  <si>
    <t>Row Labels</t>
  </si>
  <si>
    <t>1:LA</t>
  </si>
  <si>
    <t>2:LSO</t>
  </si>
  <si>
    <t>3:SDA</t>
  </si>
  <si>
    <t>4:National</t>
  </si>
  <si>
    <t>Grand Total</t>
  </si>
  <si>
    <t>Sum of Total</t>
  </si>
  <si>
    <t>Sum of WT</t>
  </si>
  <si>
    <t>2018-19</t>
  </si>
  <si>
    <t>2017-18</t>
  </si>
  <si>
    <t>Sum of Watch Manager</t>
  </si>
  <si>
    <t>Code</t>
  </si>
  <si>
    <t>City of Edinburgh</t>
  </si>
  <si>
    <t>Scotland</t>
  </si>
  <si>
    <t>Sum of RDS</t>
  </si>
  <si>
    <t>Sum of Control</t>
  </si>
  <si>
    <t>Sum of Support</t>
  </si>
  <si>
    <t>Sum of Vol</t>
  </si>
  <si>
    <t>Sum of Brigade Manager</t>
  </si>
  <si>
    <t>Sum of Area Manager</t>
  </si>
  <si>
    <t>Sum of Group Manager</t>
  </si>
  <si>
    <t>Sum of Station Manager</t>
  </si>
  <si>
    <t>Sum of Crew Manager</t>
  </si>
  <si>
    <t>Sum of Firefighter</t>
  </si>
  <si>
    <t>FinYr</t>
  </si>
  <si>
    <t>(All)</t>
  </si>
  <si>
    <t>Column Labels</t>
  </si>
  <si>
    <t>Sum of Control Operator</t>
  </si>
  <si>
    <t>2016-17</t>
  </si>
  <si>
    <t>Sum of Director</t>
  </si>
  <si>
    <t>Sum of Service Manager</t>
  </si>
  <si>
    <t>Sum of Team Leader</t>
  </si>
  <si>
    <t>Sum of Professional</t>
  </si>
  <si>
    <t>Sum of Specialist Technical</t>
  </si>
  <si>
    <t>Sum of Tech Support</t>
  </si>
  <si>
    <t>Sum of Administration</t>
  </si>
  <si>
    <t>ALL</t>
  </si>
  <si>
    <t>S12000005</t>
  </si>
  <si>
    <t>S12000006</t>
  </si>
  <si>
    <t>S12000008</t>
  </si>
  <si>
    <t>S12000010</t>
  </si>
  <si>
    <t>S12000011</t>
  </si>
  <si>
    <t>S12000013</t>
  </si>
  <si>
    <t>S12000014</t>
  </si>
  <si>
    <t>S12000017</t>
  </si>
  <si>
    <t>S12000018</t>
  </si>
  <si>
    <t>S12000019</t>
  </si>
  <si>
    <t>S12000020</t>
  </si>
  <si>
    <t>S12000021</t>
  </si>
  <si>
    <t>S12000023</t>
  </si>
  <si>
    <t>S12000024</t>
  </si>
  <si>
    <t>S12000026</t>
  </si>
  <si>
    <t>S12000027</t>
  </si>
  <si>
    <t>S12000028</t>
  </si>
  <si>
    <t>S12000029</t>
  </si>
  <si>
    <t>S12000030</t>
  </si>
  <si>
    <t>S12000033</t>
  </si>
  <si>
    <t>S12000034</t>
  </si>
  <si>
    <t>S12000035</t>
  </si>
  <si>
    <t>S12000036</t>
  </si>
  <si>
    <t>S12000038</t>
  </si>
  <si>
    <t>S12000039</t>
  </si>
  <si>
    <t>S12000040</t>
  </si>
  <si>
    <t>S12000041</t>
  </si>
  <si>
    <t>S12000042</t>
  </si>
  <si>
    <t>S12000044</t>
  </si>
  <si>
    <t>S12000045</t>
  </si>
  <si>
    <t>S12000046</t>
  </si>
  <si>
    <t>S12000047</t>
  </si>
  <si>
    <t>(blank)</t>
  </si>
  <si>
    <t>Vol</t>
  </si>
  <si>
    <t>WT</t>
  </si>
  <si>
    <t>Specialist Technical</t>
  </si>
  <si>
    <t>Tech Support</t>
  </si>
  <si>
    <t>Sum of Female</t>
  </si>
  <si>
    <t>Sum of Male</t>
  </si>
  <si>
    <t>Under 20</t>
  </si>
  <si>
    <t>Over 40</t>
  </si>
  <si>
    <t>Under 5</t>
  </si>
  <si>
    <t>Total (ex Vol)</t>
  </si>
  <si>
    <t>2011-12</t>
  </si>
  <si>
    <t>Sum of White</t>
  </si>
  <si>
    <t>Sum of Not Stated</t>
  </si>
  <si>
    <t>Sum of Ethnic Minority</t>
  </si>
  <si>
    <t>FisYr</t>
  </si>
  <si>
    <t>Sum of Wholetime</t>
  </si>
  <si>
    <t>Sum of Retained</t>
  </si>
  <si>
    <t>Sum of Volunteer</t>
  </si>
  <si>
    <t>Sum of Wholetime and Retained</t>
  </si>
  <si>
    <t>Sum of Wholetime and Day</t>
  </si>
  <si>
    <t>Reserve</t>
  </si>
  <si>
    <t>Training</t>
  </si>
  <si>
    <t>Sum of 2017-18</t>
  </si>
  <si>
    <t>Sum of Pumping Appliances</t>
  </si>
  <si>
    <t>Sum of Aerial Appliances</t>
  </si>
  <si>
    <t>Sum of Other Appliances</t>
  </si>
  <si>
    <t>Sum of Resilience</t>
  </si>
  <si>
    <t>Sum of Objects thrown at firefighters/appliances</t>
  </si>
  <si>
    <t>Yes</t>
  </si>
  <si>
    <t>Non-Operational Sum of Objects thrown at firefighters/appliances</t>
  </si>
  <si>
    <t>Operational Sum of Objects thrown at firefighters/appliances</t>
  </si>
  <si>
    <t>Total Sum of Objects thrown at firefighters/appliances</t>
  </si>
  <si>
    <t>Non-Operational Sum of Total</t>
  </si>
  <si>
    <t>Operational Sum of Total</t>
  </si>
  <si>
    <t>Total Sum of Total</t>
  </si>
  <si>
    <t>Non-Operational Sum of Physical abuse</t>
  </si>
  <si>
    <t>Operational Sum of Physical abuse</t>
  </si>
  <si>
    <t>Total Sum of Physical abuse</t>
  </si>
  <si>
    <t>Sum of Physical abuse</t>
  </si>
  <si>
    <t>Non-Operational Sum of Verbal abuse</t>
  </si>
  <si>
    <t>Operational Sum of Verbal abuse</t>
  </si>
  <si>
    <t>Total Sum of Verbal abuse</t>
  </si>
  <si>
    <t>Sum of Verbal abuse</t>
  </si>
  <si>
    <t>Non-Operational Sum of Other acts of aggression</t>
  </si>
  <si>
    <t>Operational Sum of Other acts of aggression</t>
  </si>
  <si>
    <t>Total Sum of Other acts of aggression</t>
  </si>
  <si>
    <t>Sum of Other acts of aggression</t>
  </si>
  <si>
    <t>Sum of 2016-17</t>
  </si>
  <si>
    <t>Table code</t>
  </si>
  <si>
    <t>Update frequency</t>
  </si>
  <si>
    <t>Revisions policy</t>
  </si>
  <si>
    <t>Annual</t>
  </si>
  <si>
    <t>Revisions are not anticipated</t>
  </si>
  <si>
    <t>SDA Code</t>
  </si>
  <si>
    <t>S39000001</t>
  </si>
  <si>
    <t>S39000002</t>
  </si>
  <si>
    <t>S39000018</t>
  </si>
  <si>
    <t>S39000003</t>
  </si>
  <si>
    <t>S39000004</t>
  </si>
  <si>
    <t>S39000006</t>
  </si>
  <si>
    <t>S39000007</t>
  </si>
  <si>
    <t>S39000008</t>
  </si>
  <si>
    <t>S39000009</t>
  </si>
  <si>
    <t>S39000010</t>
  </si>
  <si>
    <t>S39000019</t>
  </si>
  <si>
    <t>S39000012</t>
  </si>
  <si>
    <t>S39000013</t>
  </si>
  <si>
    <t>S39000014</t>
  </si>
  <si>
    <t>S39000015</t>
  </si>
  <si>
    <t>S39000016</t>
  </si>
  <si>
    <t>S39000017</t>
  </si>
  <si>
    <t>S92000003</t>
  </si>
  <si>
    <t>Not Stated</t>
  </si>
  <si>
    <t>Wholetime and Retained</t>
  </si>
  <si>
    <t>Wholetime and Day</t>
  </si>
  <si>
    <t>Yes Sum of Objects thrown at firefighters/appliances</t>
  </si>
  <si>
    <t>Yes Sum of Physical abuse</t>
  </si>
  <si>
    <t>Yes Sum of Verbal abuse</t>
  </si>
  <si>
    <t>Yes Sum of Other acts of aggression</t>
  </si>
  <si>
    <t>Yes Sum of Total</t>
  </si>
  <si>
    <t>Under 5s</t>
  </si>
  <si>
    <t>5 to 10</t>
  </si>
  <si>
    <t>11 to 16</t>
  </si>
  <si>
    <t>17 to 30</t>
  </si>
  <si>
    <t>31 to 60</t>
  </si>
  <si>
    <t>Over 60</t>
  </si>
  <si>
    <t>All Residents</t>
  </si>
  <si>
    <t>In Year</t>
  </si>
  <si>
    <t>Over Three Years</t>
  </si>
  <si>
    <t>Over Five Years</t>
  </si>
  <si>
    <t>Non-repeat Visits</t>
  </si>
  <si>
    <t>S40000004</t>
  </si>
  <si>
    <t>S40000003</t>
  </si>
  <si>
    <t>S40000005</t>
  </si>
  <si>
    <t>All Uniformed Staff</t>
  </si>
  <si>
    <t>TOTAL</t>
  </si>
  <si>
    <t>1 - Most Deprived 20%</t>
  </si>
  <si>
    <t>5 - Least Deprived 20%</t>
  </si>
  <si>
    <t>1 - Large Urban Areas</t>
  </si>
  <si>
    <t>2 - Other Urban Areas</t>
  </si>
  <si>
    <t>3 - Accessible Small Towns</t>
  </si>
  <si>
    <t>4 - Remote Small Towns</t>
  </si>
  <si>
    <t>5 - Accessible Rural</t>
  </si>
  <si>
    <t>6 - Remote Rural</t>
  </si>
  <si>
    <t>The 2017-18 and 2018-19 figures for Audits do not include partial audits of the communal areas of multi-story residential buildings of which there were 76 and 24 respectively. Please see Guidance Notes for discussion.</t>
  </si>
  <si>
    <t>Sum of Hospital / Prison</t>
  </si>
  <si>
    <t>Sum of Care Home</t>
  </si>
  <si>
    <t>Sum of HMO</t>
  </si>
  <si>
    <t>Sum of Hostel</t>
  </si>
  <si>
    <t>Sum of Hotel</t>
  </si>
  <si>
    <t>Sum of Other Sleeping Accommodation</t>
  </si>
  <si>
    <t>Sum of Further Education</t>
  </si>
  <si>
    <t>Sum of Public Building</t>
  </si>
  <si>
    <t>Sum of Licensed Premises</t>
  </si>
  <si>
    <t>Sum of School</t>
  </si>
  <si>
    <t>Sum of Shop</t>
  </si>
  <si>
    <t>Sum of Other Premises Open to Public</t>
  </si>
  <si>
    <t>Sum of Factory or Warehouse</t>
  </si>
  <si>
    <t>Sum of Office</t>
  </si>
  <si>
    <t>Sum of Other Workplace</t>
  </si>
  <si>
    <t>Sum of Total Of PremisesVisited</t>
  </si>
  <si>
    <t>S12000015</t>
  </si>
  <si>
    <t>A</t>
  </si>
  <si>
    <t>B</t>
  </si>
  <si>
    <t>C</t>
  </si>
  <si>
    <t>E</t>
  </si>
  <si>
    <t>F</t>
  </si>
  <si>
    <t>H</t>
  </si>
  <si>
    <t>J</t>
  </si>
  <si>
    <t>K</t>
  </si>
  <si>
    <t>L</t>
  </si>
  <si>
    <t>M</t>
  </si>
  <si>
    <t>N</t>
  </si>
  <si>
    <t>P</t>
  </si>
  <si>
    <t>R</t>
  </si>
  <si>
    <t>S</t>
  </si>
  <si>
    <t>T</t>
  </si>
  <si>
    <t>Sum of A_Tally</t>
  </si>
  <si>
    <t>Sum of A_Hours</t>
  </si>
  <si>
    <t>Sum of B_Tally</t>
  </si>
  <si>
    <t>Sum of B_Hours</t>
  </si>
  <si>
    <t>Sum of Enforcement_Tally</t>
  </si>
  <si>
    <t>Sum of Prohibition_Tally</t>
  </si>
  <si>
    <t>Sum of Enforcement_Hours</t>
  </si>
  <si>
    <t>Sum of Prohibition_Hours</t>
  </si>
  <si>
    <t>Combined Aerial &amp; Pumping</t>
  </si>
  <si>
    <t>Non-Operational Other</t>
  </si>
  <si>
    <t>Operational Other</t>
  </si>
  <si>
    <t>Primarily For Rescue Vehicles</t>
  </si>
  <si>
    <t>Sum of Small Firefighting Vehicles</t>
  </si>
  <si>
    <t>Sum of Primarily For Rescue Vehicles</t>
  </si>
  <si>
    <t>Sum of Operational Other</t>
  </si>
  <si>
    <t>Sum of Combined Aerial &amp; Pumping</t>
  </si>
  <si>
    <t>C18</t>
  </si>
  <si>
    <t>Cprior</t>
  </si>
  <si>
    <t>Non-Op</t>
  </si>
  <si>
    <t>Op</t>
  </si>
  <si>
    <t>All Scotland</t>
  </si>
  <si>
    <t>Sum of VisitAlarmInstalled</t>
  </si>
  <si>
    <t>Sum of VisitAdviceOnly</t>
  </si>
  <si>
    <t>Sum of TotalVisits</t>
  </si>
  <si>
    <t>Sum of TotalAlarms</t>
  </si>
  <si>
    <t>Sum of TotalNewAlarms</t>
  </si>
  <si>
    <t>Sum of TotalReplacedAlarms</t>
  </si>
  <si>
    <t>Sum of Dwellings</t>
  </si>
  <si>
    <t>Sum of VisitsPer100Dwelling</t>
  </si>
  <si>
    <t>Sum of AlarmsPer100Dwelling</t>
  </si>
  <si>
    <t>Sum of Households</t>
  </si>
  <si>
    <t>Sum of VisitsPer100Household</t>
  </si>
  <si>
    <t>Sum of AlarmsPer100Household</t>
  </si>
  <si>
    <t>Premises</t>
  </si>
  <si>
    <t>Sum of M</t>
  </si>
  <si>
    <t>Sum of H</t>
  </si>
  <si>
    <t>Sum of VL</t>
  </si>
  <si>
    <t>Sum of L</t>
  </si>
  <si>
    <t>Sum of VH</t>
  </si>
  <si>
    <t>Sum of 2015-16</t>
  </si>
  <si>
    <t>Sum of 2018-19</t>
  </si>
  <si>
    <t>New Alarms</t>
  </si>
  <si>
    <t>Replaced Alarms</t>
  </si>
  <si>
    <t>Households</t>
  </si>
  <si>
    <t>Alarms Installed</t>
  </si>
  <si>
    <t>(blank) Sum of Objects thrown at firefighters/appliances</t>
  </si>
  <si>
    <t>(blank) Sum of Physical abuse</t>
  </si>
  <si>
    <t>(blank) Sum of Verbal abuse</t>
  </si>
  <si>
    <t>(blank) Sum of Other acts of aggression</t>
  </si>
  <si>
    <t>(blank) Sum of Total</t>
  </si>
  <si>
    <t>Percent of Scottish Housholds Visited</t>
  </si>
  <si>
    <t>Percent of Scottish Households Visited with Alarms Installed</t>
  </si>
  <si>
    <t>Department</t>
  </si>
  <si>
    <t>HFSV - alarms installed</t>
  </si>
  <si>
    <t>ALL STAFF</t>
  </si>
  <si>
    <t>Updated 30 August 2019</t>
  </si>
  <si>
    <t>Fire Safety and Organisational Statistics, Scotland</t>
  </si>
  <si>
    <t>Scottish Fire and Rescue Service</t>
  </si>
  <si>
    <t>Fire Safety and Organisational Statistics - Tables and Charts</t>
  </si>
  <si>
    <t xml:space="preserve"> - Fire Stations</t>
  </si>
  <si>
    <t xml:space="preserve"> - Fire and Rescue Vehicles</t>
  </si>
  <si>
    <t xml:space="preserve"> - Attacks on Fire and Rescue Personnel</t>
  </si>
  <si>
    <t xml:space="preserve"> - Non-Domestic Fire Safety</t>
  </si>
  <si>
    <t>Please see the most recent Fire Safety and Organisational Statistics publication for commentary on the statistics included in this workbook.</t>
  </si>
  <si>
    <t>Please see the Guidance Notes on Statistics publication for further details on these statistics including definitions and advice on interpretation.</t>
  </si>
  <si>
    <t>This workbook provides statistics on the Scottish Fire and Rescue Service. Covering:</t>
  </si>
  <si>
    <t>Workforce Statistics</t>
  </si>
  <si>
    <t>FTE statistics are rounded after they are calculated.</t>
  </si>
  <si>
    <t>Geographic Reporting Structure</t>
  </si>
  <si>
    <t>This table maps the geographic areas in the SFRS organisational structure. The 32 Local Authority Areas are mapped to the 17 Local Senior Officer Areas and 3 Service Delivery Areas.</t>
  </si>
  <si>
    <t>Uniformed Staff by Role</t>
  </si>
  <si>
    <t>Volunteer - Number</t>
  </si>
  <si>
    <t>Volunteer - Percent</t>
  </si>
  <si>
    <t>Experimental Statistics introduced in 2018-19</t>
  </si>
  <si>
    <t>Please see the Guidance Notes for Statistics for descriptions of each department.</t>
  </si>
  <si>
    <t>GSS Code</t>
  </si>
  <si>
    <t>The Station Manager category included a small number of staff at Local Authority level, since 2016-17 they have all been reported at Local Senior Officer Area.</t>
  </si>
  <si>
    <t>LA Code</t>
  </si>
  <si>
    <t>LSO Code</t>
  </si>
  <si>
    <t>Scotland total</t>
  </si>
  <si>
    <t>Control Operators are also referred to as Firefighters where appropriate</t>
  </si>
  <si>
    <t>Staff Type by Gender</t>
  </si>
  <si>
    <t>Staff Type by Gender and Role</t>
  </si>
  <si>
    <t>Wholetime Operational (total)</t>
  </si>
  <si>
    <t>Staff Type by Gender Timeseries</t>
  </si>
  <si>
    <t>Staff Type</t>
  </si>
  <si>
    <t>Staff Type by Gender and Role - Full-time Equivalent</t>
  </si>
  <si>
    <t>Staff Type by Age Range - Headcount</t>
  </si>
  <si>
    <t>Staff Type by Age Range - Percentage</t>
  </si>
  <si>
    <t>Control Staff by Role and Geographic Area - Full-time Equivalent</t>
  </si>
  <si>
    <t>Support Staff by Role and Geographic Area - Full-time Equivalent</t>
  </si>
  <si>
    <t>RDS Staff by Role and Geographic Area - Full-time Equivalent</t>
  </si>
  <si>
    <t>Wholetime Operational Staff by Role and Geographic Area - Full-time Equivalent</t>
  </si>
  <si>
    <t>Volunteers by Role and Geographic Area - Headcount</t>
  </si>
  <si>
    <t>Control Staff by Role and Geographic Area  - Headcount</t>
  </si>
  <si>
    <t>Support Staff by Role and Geographic Area -  Headcount</t>
  </si>
  <si>
    <t>Retained Duty Staff by Role and Geographical Area - Headcount</t>
  </si>
  <si>
    <t>Wholetime Operational Staff by Role and Geographical Area - Headcount</t>
  </si>
  <si>
    <t>Staff Type by Department  - Headcount</t>
  </si>
  <si>
    <t>Staff Type by Department - Full Time Equivalent</t>
  </si>
  <si>
    <t>SFRS Headcount by Staff Type</t>
  </si>
  <si>
    <t>SFRS Full-time Equivalent by Staff Type</t>
  </si>
  <si>
    <t>Experimental Statistics introduced in 2017-18</t>
  </si>
  <si>
    <t>Staff Type by Service Length - Percentage</t>
  </si>
  <si>
    <t>Staff Type by Service Length - Headcount</t>
  </si>
  <si>
    <t>This table will retain its 'Experimental' status until 2020</t>
  </si>
  <si>
    <t>Support Staff has been removed from this table due to quality concerns.</t>
  </si>
  <si>
    <t>This table will retain its 'Experimental' status until 2020.</t>
  </si>
  <si>
    <t>Staff Type by Ethnicity - Percentage</t>
  </si>
  <si>
    <t>Staff Type by Disability Status - Percentage</t>
  </si>
  <si>
    <t>Staff Type where Disability Status is Not Known - Percentage</t>
  </si>
  <si>
    <t>Volunteers</t>
  </si>
  <si>
    <t>Percentage of Staff Type</t>
  </si>
  <si>
    <t>Reason for Leaving</t>
  </si>
  <si>
    <t>Staff Total (excluding volunteers)</t>
  </si>
  <si>
    <t>Ethnicity</t>
  </si>
  <si>
    <t>New Entrants by Age Range</t>
  </si>
  <si>
    <t>New Entrants by Gender</t>
  </si>
  <si>
    <t>New Entrants by Ethnicity</t>
  </si>
  <si>
    <t>New Entrants by Disability</t>
  </si>
  <si>
    <t>Workforce Leavers by Reason for Leaving</t>
  </si>
  <si>
    <t>These figures present the ratio of staff headcount by disability response to total headcount for each staff group.</t>
  </si>
  <si>
    <t>Headcount by Type of Staffing</t>
  </si>
  <si>
    <t>Full Time Equivalent by Type of Staffing</t>
  </si>
  <si>
    <t>Staff Type by Gender - Headcount</t>
  </si>
  <si>
    <t>Table of Contents</t>
  </si>
  <si>
    <t>Click on a hyperlink to select the corresponding worksheet</t>
  </si>
  <si>
    <t>Topic</t>
  </si>
  <si>
    <t>Full Time Equivalent</t>
  </si>
  <si>
    <t>Metric</t>
  </si>
  <si>
    <t>Staffing Type by Geographic Area - Headcount</t>
  </si>
  <si>
    <t>Staff Type by Geographical Reporting Structure - Headcount</t>
  </si>
  <si>
    <t>Geographic Area</t>
  </si>
  <si>
    <t>Role</t>
  </si>
  <si>
    <t>Gender</t>
  </si>
  <si>
    <t>Service Length</t>
  </si>
  <si>
    <t>Wholetime Operational Staff by Role and Geographical Reporting Structure - Headcount</t>
  </si>
  <si>
    <t>Leavers</t>
  </si>
  <si>
    <t>Disability</t>
  </si>
  <si>
    <t>New Entrants</t>
  </si>
  <si>
    <t>Sum</t>
  </si>
  <si>
    <t>Back to Table of Contents</t>
  </si>
  <si>
    <t>Workforce Tables</t>
  </si>
  <si>
    <t>Workforce Charts</t>
  </si>
  <si>
    <t>Staff Type - Wholetime Operational</t>
  </si>
  <si>
    <t>Staff Type - Retained Duty System</t>
  </si>
  <si>
    <t>Staff Type - Control</t>
  </si>
  <si>
    <t>Staff Type - Support Staff</t>
  </si>
  <si>
    <t>Staff Type - Volunteers</t>
  </si>
  <si>
    <t>&lt;20</t>
  </si>
  <si>
    <t>Fire Stations by Primary Crewing Type</t>
  </si>
  <si>
    <t>Day-Crewed</t>
  </si>
  <si>
    <t>From 2014-15  Gordonstoun volunteer fire station has been removed from the count of SFRS fire stations. While the total number of fire stations in Scotland has not changed since 2012-13, the recorded total for SFRS fire stations reduced from 357 to 356 in 2014-15 as a result of this change. We are consulting on future inclusion of this station.</t>
  </si>
  <si>
    <t>Fire Stations by Station Crewing Model</t>
  </si>
  <si>
    <t>Fire Station Statistics</t>
  </si>
  <si>
    <t>Fire Stations by Primary Crewing Type and Local Authority</t>
  </si>
  <si>
    <t>Fire Stations by Crewing Model and Local Authority</t>
  </si>
  <si>
    <t>Fire Station Types</t>
  </si>
  <si>
    <t>Map of Fire Stations by Type</t>
  </si>
  <si>
    <t>Attacks on SFRS Personnel Statistics</t>
  </si>
  <si>
    <t>Objects Thrown</t>
  </si>
  <si>
    <t>Physical Abuse</t>
  </si>
  <si>
    <t>Verbal Abuse</t>
  </si>
  <si>
    <t>Other Acts of Aggression</t>
  </si>
  <si>
    <t>Incidents</t>
  </si>
  <si>
    <t>Incidents resulting in injuries</t>
  </si>
  <si>
    <t>Two previous years are revised at each update</t>
  </si>
  <si>
    <t>Attacks on SFRS Personnel by Type of Attack</t>
  </si>
  <si>
    <t>Attacks on SFRS Personnel Resulting in Injuries by Type of Attack</t>
  </si>
  <si>
    <t>Home Fire Safety Visit Statistics</t>
  </si>
  <si>
    <t>One Year is revised at each update</t>
  </si>
  <si>
    <t>Home Fire Safety Visits (HFSV) by Outcome and Smoke Alarms Installed</t>
  </si>
  <si>
    <t>Home Fire Safety Visits to Distinct Properties</t>
  </si>
  <si>
    <t>Home Fire Safety Visits with Alarms Installed in Distinct Properties</t>
  </si>
  <si>
    <t>Distinct Properties Visited</t>
  </si>
  <si>
    <t>In One Year</t>
  </si>
  <si>
    <t>Percentage of Non-repeat Visits</t>
  </si>
  <si>
    <t>Distinct Properties Visited where Alarms were Installed</t>
  </si>
  <si>
    <t>Percentage of Scottish Households visited in Home Fire Safety Visits</t>
  </si>
  <si>
    <t>Percentage of Scottish Population living in Households who had a HFSV</t>
  </si>
  <si>
    <t>Home Fire Safety Visits by Deprivation of Area</t>
  </si>
  <si>
    <t>Home Fire Safety Visits by SIMD Quintile</t>
  </si>
  <si>
    <t>Rate of Home Fire Safety Visits per 100 Occupied Dwellings by SIMD Quintile</t>
  </si>
  <si>
    <t>HFSVs by Urban Rural 6 Fold Category</t>
  </si>
  <si>
    <t>Home Fire Safety Visits by Rurality</t>
  </si>
  <si>
    <t>Rate of HFSVs per 100 Occupied Dwellings by Urban Rural 6 Fold Category</t>
  </si>
  <si>
    <t>Rate of Alarms Installed</t>
  </si>
  <si>
    <t>Percentage of Scottish Households</t>
  </si>
  <si>
    <t>Percentage of Households</t>
  </si>
  <si>
    <t>Total Alarms Installed</t>
  </si>
  <si>
    <t>Total HFSVs</t>
  </si>
  <si>
    <t>Home Fire Safety Visits by Outcome</t>
  </si>
  <si>
    <t>Home Fire Safety Visits Statistics</t>
  </si>
  <si>
    <t>Rate of Home Fire Safety Visits by Age Group of Residents</t>
  </si>
  <si>
    <t>Rate of Home Fire Safety Visits by Rurality</t>
  </si>
  <si>
    <t>Rate of Home Fire Safety Visits by Local Authority</t>
  </si>
  <si>
    <t>Non-domestic Fire Safety Workflows</t>
  </si>
  <si>
    <t>This table has was introduced in 2017-18 to present statistics on the range of work undertaken by the SFRS Fire Safety Enforcement Team. Experimental status will be reviewed next year.</t>
  </si>
  <si>
    <t>Non-domestic Fire Safety Statistics</t>
  </si>
  <si>
    <t>Site Visits</t>
  </si>
  <si>
    <t>The column 'Specific Visits' has been renamed to 'Site Visits' for clarity</t>
  </si>
  <si>
    <t>Non-domestic Fire Safety Audits by Premises Type</t>
  </si>
  <si>
    <t>Other Premises open to Public</t>
  </si>
  <si>
    <t>House of Multiple Occupation (HMO)</t>
  </si>
  <si>
    <t>HMO stands for Houses in Multiple Occupation</t>
  </si>
  <si>
    <t>-</t>
  </si>
  <si>
    <t>Audit - Broadly Compliant</t>
  </si>
  <si>
    <t>Audit - Notable Deficiencies</t>
  </si>
  <si>
    <t>Percentage Broadly Compliant</t>
  </si>
  <si>
    <t>Audits by Outcome and Average Time for Completion</t>
  </si>
  <si>
    <t>Audits by Outcome and Average Time for Completion, by Premises Type</t>
  </si>
  <si>
    <t>Notices Issued by Type</t>
  </si>
  <si>
    <t>This table was introduced in 2017-18 to provide details of the number of formal Notices issued within the financial year. This contrasts with the number of workflows completed each year which in the Audits Outcome tab.</t>
  </si>
  <si>
    <t>Figures for 2016-17 and 2017-18 have been revised as a result of ongoing quality assurance, future revisions are not anticipated at this stage.</t>
  </si>
  <si>
    <t>Please see Guidance Notes for detailed discussion.</t>
  </si>
  <si>
    <t>Audits by Outcome and Average Time for Completion, by Local Authority</t>
  </si>
  <si>
    <t>Audits by Risk Recorded</t>
  </si>
  <si>
    <t>Very Low</t>
  </si>
  <si>
    <t>Low</t>
  </si>
  <si>
    <t>Medium</t>
  </si>
  <si>
    <t>High</t>
  </si>
  <si>
    <t>Very High</t>
  </si>
  <si>
    <t>Audits by Risk Recorded - Percentage in Each Premises Type</t>
  </si>
  <si>
    <t>Non-domestic Workflows</t>
  </si>
  <si>
    <t>Audits by Premises Type and Risk</t>
  </si>
  <si>
    <t>Fire and Rescue Vehicles Statistics</t>
  </si>
  <si>
    <t>Fire and Rescue Vehicles by Type</t>
  </si>
  <si>
    <t>Total Appliances</t>
  </si>
  <si>
    <t>Resilience Appliances</t>
  </si>
  <si>
    <t>Other Fleet Vehicles (excl. Officer Response Vehicles)</t>
  </si>
  <si>
    <t>Fire and Rescue Vehicles by Type, by Local Authority</t>
  </si>
  <si>
    <t>Attacks Related to Operational Incidents</t>
  </si>
  <si>
    <t>Attacks Not Related to Operational Incidents</t>
  </si>
  <si>
    <t>Attacks Related to Operational Incidents by Local Authority</t>
  </si>
  <si>
    <t>Home Fire Safety Visits (HFSV) by Outcome and Smoke Alarms Installed - Percentage and Rate</t>
  </si>
  <si>
    <t>Percentage of Scottish Households with Alarms Installed in Home Fire Safety Visits</t>
  </si>
  <si>
    <t>Residents of Households Visited in Home Fire Safety Visits by Age Range - Percentage of Population</t>
  </si>
  <si>
    <t>Residents of Households Visited in Home Fire Safety Visits by Age Range</t>
  </si>
  <si>
    <t>Home Fire Safety Visits by Deprivation of Area - Percentage of Occupied Dwellings</t>
  </si>
  <si>
    <t>Home Fire Safety Visits (HFSV) by Outcome and Smoke Alarms Installed, by Local Authority</t>
  </si>
  <si>
    <t>Home Fire Safety Visits by Rurality - Percentage of Occupied Dwellings</t>
  </si>
  <si>
    <t>Home Fire Safety Visits (HFSV) Percentage of Scottish Households</t>
  </si>
  <si>
    <t>Non-domestic Fire Safety Audits by Premises Type, by Local Authority</t>
  </si>
  <si>
    <t>Fire Stations</t>
  </si>
  <si>
    <t>Crewing Model</t>
  </si>
  <si>
    <t>Primary Crewing Type</t>
  </si>
  <si>
    <t>Fire Station Charts</t>
  </si>
  <si>
    <t>Primary Crewing Type and Crewing Model</t>
  </si>
  <si>
    <t>Map</t>
  </si>
  <si>
    <t>Fire and Rescue Vehicles</t>
  </si>
  <si>
    <t>Type of Vehicle</t>
  </si>
  <si>
    <t>Attacks on SFRS Personnel</t>
  </si>
  <si>
    <t>Related to Operational Incidents</t>
  </si>
  <si>
    <t>Not Related to Operational Incidents</t>
  </si>
  <si>
    <t>Attacks on SFRS Personnel Charts</t>
  </si>
  <si>
    <t>Type of Attack Resulting in Injuries</t>
  </si>
  <si>
    <t>Home Fire Safety Visits</t>
  </si>
  <si>
    <t>Residents of Households Visited</t>
  </si>
  <si>
    <t>Home Fire Safety Visit Charts</t>
  </si>
  <si>
    <t>Outcome</t>
  </si>
  <si>
    <t>Rurality</t>
  </si>
  <si>
    <t>Outcome and Smoke Alarms Installed</t>
  </si>
  <si>
    <t>Distinct Properties</t>
  </si>
  <si>
    <t>Households Visited</t>
  </si>
  <si>
    <t>Deprivation</t>
  </si>
  <si>
    <t>Home Fire Safety Visits (HFSV) by Outcome and Smoke Alarms Installed, by Local Authority - Percentage</t>
  </si>
  <si>
    <t>Home Fire Safety Visits (HFSV) by Outcome, by Local Authority - Percentage of Households</t>
  </si>
  <si>
    <t>Non-domestic Fire Safety</t>
  </si>
  <si>
    <t>Workflows</t>
  </si>
  <si>
    <t>Risk</t>
  </si>
  <si>
    <t>Premises Type</t>
  </si>
  <si>
    <t>Outcome and Time for Completion</t>
  </si>
  <si>
    <t>Notices Issued</t>
  </si>
  <si>
    <t>Non-domestic Fire Safety Charts</t>
  </si>
  <si>
    <t>Category</t>
  </si>
  <si>
    <t xml:space="preserve"> Resilience Appliances</t>
  </si>
  <si>
    <t>Link</t>
  </si>
  <si>
    <t>link</t>
  </si>
  <si>
    <t>Reporting Structure</t>
  </si>
  <si>
    <t>Updates are published annually in this workbook.</t>
  </si>
  <si>
    <t>Please source statistics from the latest version of this workbook.</t>
  </si>
  <si>
    <t>GRS1</t>
  </si>
  <si>
    <t>FS_CM1</t>
  </si>
  <si>
    <t>FS_CMLA1</t>
  </si>
  <si>
    <t>FS_PC1</t>
  </si>
  <si>
    <t>FS_PCLA1</t>
  </si>
  <si>
    <t>C_FS_P1</t>
  </si>
  <si>
    <t>C_FS_M1</t>
  </si>
  <si>
    <t>FL_LA1</t>
  </si>
  <si>
    <t>FL_TY1</t>
  </si>
  <si>
    <t>Disability - Not Known</t>
  </si>
  <si>
    <t>C_FS_LAB1</t>
  </si>
  <si>
    <t>WF_STH1</t>
  </si>
  <si>
    <t>WF_STF1</t>
  </si>
  <si>
    <t>WF_STDEF1</t>
  </si>
  <si>
    <t>WF_STDEH1</t>
  </si>
  <si>
    <t>WF_STRSH1</t>
  </si>
  <si>
    <t>WF_STGAH1</t>
  </si>
  <si>
    <t>WF_STRH1</t>
  </si>
  <si>
    <t>WF_STRRSH1</t>
  </si>
  <si>
    <t>WF_WRGAH1</t>
  </si>
  <si>
    <t>WF_RRGH1</t>
  </si>
  <si>
    <t>C_WF_STH1</t>
  </si>
  <si>
    <t>C_WF_STF1</t>
  </si>
  <si>
    <t>C_WF_STGH1</t>
  </si>
  <si>
    <t>C_WF_STARH1</t>
  </si>
  <si>
    <t>AT_ROIS1</t>
  </si>
  <si>
    <t>AT_NOIS1</t>
  </si>
  <si>
    <t>AT_ROILAS1</t>
  </si>
  <si>
    <t>C_ATS1</t>
  </si>
  <si>
    <t>C_ATIS1</t>
  </si>
  <si>
    <t>Rate of Households</t>
  </si>
  <si>
    <t>C_HV_OS1</t>
  </si>
  <si>
    <t>C_HV_AIS1</t>
  </si>
  <si>
    <t>C_HV_RURP1</t>
  </si>
  <si>
    <t>C_HV_RESP1</t>
  </si>
  <si>
    <t>C_HV_LAP1</t>
  </si>
  <si>
    <t>C_ND_WS1</t>
  </si>
  <si>
    <t>C_ND_RS1</t>
  </si>
  <si>
    <t>WF_CRGH1</t>
  </si>
  <si>
    <t>WF_SRGH1</t>
  </si>
  <si>
    <t>WF_VRGH1</t>
  </si>
  <si>
    <t>WF_WRGF1</t>
  </si>
  <si>
    <t>WF_RRGF1</t>
  </si>
  <si>
    <t>WF_CRGF1</t>
  </si>
  <si>
    <t>WF_SRGF1</t>
  </si>
  <si>
    <t>WF_STGH1</t>
  </si>
  <si>
    <t>WF_STG2H1</t>
  </si>
  <si>
    <t>WF_STGRH1</t>
  </si>
  <si>
    <t>WF_STGRF1</t>
  </si>
  <si>
    <t>WF_STARH1</t>
  </si>
  <si>
    <t>WF_STARP1</t>
  </si>
  <si>
    <t>WF_STSLH1</t>
  </si>
  <si>
    <t>WF_STSLP1</t>
  </si>
  <si>
    <t>WF_STETP1</t>
  </si>
  <si>
    <t>WF_STDIP1</t>
  </si>
  <si>
    <t>WF_STDNP1</t>
  </si>
  <si>
    <t>WF_NEARS1</t>
  </si>
  <si>
    <t>WF_NEGS1</t>
  </si>
  <si>
    <t>WF_NEETP1</t>
  </si>
  <si>
    <t>WF_NEDIP1</t>
  </si>
  <si>
    <t>WF_LERLP1</t>
  </si>
  <si>
    <t>HV_OS1</t>
  </si>
  <si>
    <t>HV_OR1</t>
  </si>
  <si>
    <t>HV_HR1</t>
  </si>
  <si>
    <t>HV_DPS1</t>
  </si>
  <si>
    <t>HV_DPAIS1</t>
  </si>
  <si>
    <t>HV_DPP1</t>
  </si>
  <si>
    <t>HV_DPAIP1</t>
  </si>
  <si>
    <t>HV_RESARS1</t>
  </si>
  <si>
    <t>HV_RESARP1</t>
  </si>
  <si>
    <t>HV_DEPS1</t>
  </si>
  <si>
    <t>HV_DEPP1</t>
  </si>
  <si>
    <t>HV_RURS1</t>
  </si>
  <si>
    <t>HV_RURP1</t>
  </si>
  <si>
    <t>HV_OLAS1</t>
  </si>
  <si>
    <t>HV_OLAP1</t>
  </si>
  <si>
    <t>HV_OLAR1</t>
  </si>
  <si>
    <t>ND_WS1</t>
  </si>
  <si>
    <t>ND_APTS1</t>
  </si>
  <si>
    <t>ND_APTLA1</t>
  </si>
  <si>
    <t>ND_OTS1</t>
  </si>
  <si>
    <t>ND_OTPTS1</t>
  </si>
  <si>
    <t>ND_OTPTLAS1</t>
  </si>
  <si>
    <t>ND_NIS1</t>
  </si>
  <si>
    <t>ND_ARS1</t>
  </si>
  <si>
    <t>ND_ARP1</t>
  </si>
  <si>
    <t>There are five station crewing models in use in Scotland. These aggregate into the three primary crewing types which are also published. Please see the Guidance Notes publication for definitions and further details.</t>
  </si>
  <si>
    <t>Stations which operate with more than one crewing model are counted in the category with the highest level of cover. Please see the Guidance Notes document for definitions and further details.</t>
  </si>
  <si>
    <t>Chart Code</t>
  </si>
  <si>
    <t>In 2018 CIPFA updated their guidance for providing fleet data, in the 2017-18 statistics we published in both the new and previous format. We have now merged these into one table. In order to accommodate the merger of the published tables we have adopted a small methodological change where vehicles in the 'Tractor' category are now counted as other fleet, this change has been backdated to 2016-17 and increases the total fleet by 1 for the affected years.</t>
  </si>
  <si>
    <t>It was not possible to publish data on the number of fire boats in 2013-14. The total appliances figure is consequently lower than other years, this is provided for information and should not be used for comparison between years.</t>
  </si>
  <si>
    <t>The Resilience Appliances figure for 2015-16 is an undercount. Year-to-year comparison in both the Resilience and Other Operational categories is not recommended. The issue stems from a mismatch between the CIPFA categories and those recorded on the national fleet system. This longstanding issue has led to variation in definitions prior to the formation of SFRS. Subsequently, while efforts have been made to mitigate this issue, it is still challenging to match these categories.</t>
  </si>
  <si>
    <t>It was not possible to backdate the Officer Response Vehicles or Other Vehicles categories as we can not determine, according to the CIPFA guidelines,  which cars were used operationaly in 2016-17 or previously. The figure for 2017-18 should be considered a foor value as this was mid way through the rollout of an officer provided car scheme. The count for 2018-19 should also be considered a lower estimate albeit more robust.</t>
  </si>
  <si>
    <t>Department' is not a term used internally by SFRS, rather SFRS is split into Directorates, Units and Functions. These departments are a merger of internal structures which have been produced for clarity.</t>
  </si>
  <si>
    <t>- in cells indicates where area breakdown by staff type is not applicable.</t>
  </si>
  <si>
    <t>Staff counts are provided at the geographic area appropriate for the staff type and position in the SFRS working structure. For example wholetime operational staff crewing an appliance in a fire station are reported at local authority while wholetime operational staff who work in prevention would report at Local Senior Officer Area as their work relates to that geographic area. Support staff are reported at a Service Delivery Area level where their work relates to that geography and reported nationally otherwise.</t>
  </si>
  <si>
    <t>16:Highland</t>
  </si>
  <si>
    <t>The Brigade Manager category had included Deputy Assistant Chief Officers (DACOs) in 2014-15 and 2015-16, these are now counted in the Area manager category. This change could not be backdated.</t>
  </si>
  <si>
    <t>The Station Manager category formerly included a small number of staff at Local Authority level, since 2016-17 they have all been reported at Local Senior Officer Area.</t>
  </si>
  <si>
    <t>Support staff are reported at either Service Delivery Area or nationally for these statistics. Reporting at Senior Officer Area has been trialled in previous years however the SFRS support staff structure does not fit well with repoting at that geographic level and so has been removed.</t>
  </si>
  <si>
    <t>Please note that support staff category definitions are not as consistently applied as uniformed role categories.</t>
  </si>
  <si>
    <t>There were 12 volunteers whose age was not known in 2015-16, they have been excluded from the figures.</t>
  </si>
  <si>
    <t>Scotland (total)</t>
  </si>
  <si>
    <t>These figures present the ratio of staff headcount where a disability has been recorded, to the total headcount for each staff group.</t>
  </si>
  <si>
    <t>These figures present the ratio of staff headcount where SFRS does not know a disability status, to the total headcount for each staff group. Please note this does not include staff who have a record showing no disability.</t>
  </si>
  <si>
    <t>This table presents the age range of people who joined SFRS in 2018-19. Please note that the difference between those who joined SFRS and those who left is not the same as the change in headcount. It is possible for people to have multiple roles and staff already in the SFRS database will not be counted in these figures.</t>
  </si>
  <si>
    <t>Please note that the difference between those who joined SFRS and those who left is not the same as the change in headcount. It is possible for people to have multiple roles and staff already in the SFRS database will not be counted in these figures.</t>
  </si>
  <si>
    <t>This table presents the reason recorded for those who left SFRS in 2018-19. Please note that the difference between those who joined SFRS and those who left is not the same as the change in headcount. Staff are recorded as leaving when they are no longer in a post with SFRS.</t>
  </si>
  <si>
    <t>Percentages are based on a headcount which is the average of the figure published at the end of the previous financial year and the end of the current one.</t>
  </si>
  <si>
    <t>An attack on SFRS personnel is recorded as 'Related to Operational Incidents' if it occurred on the way to, at the scene of, or returning from an operational incident, or affects Control Room staff responding to emergency calls.</t>
  </si>
  <si>
    <t>An attack on SFRS personnel is recorded as 'not Related to Operational Incidents' if it did not occur on the way to, during or returning from an operational incident, and did not affect Control Room staff responding to emergency calls.</t>
  </si>
  <si>
    <t>A systematic error in the smoke alarms data used for these statistics was discovered in 2018-19; this caused an overestimation of the number of smoke alarms installed between the years 2013-14 and 2018-19 by an average of 29%. This has now been corrected. All home fire safety visit statistics for these years have also been revised. Please see the Statistical News publication for further discussion.</t>
  </si>
  <si>
    <t>The smoke alarm figures publsihed should be considered a lower estimate as it has not been possible to fully resolve a data quality issue. Please see Guidance Notes for further details.</t>
  </si>
  <si>
    <t>Light greyed cells have quality issues that should be considered before using the statistics.</t>
  </si>
  <si>
    <t>All home fire safety visit statistics publied since 2013-14 were revised in 2018-19.</t>
  </si>
  <si>
    <t>A systematic error in the smoke alarms data used for these statistics was discovered in 2018-19; this resulted in an overcount of the number of smoke alarms by an average of 29%. Consequently the rates of alarms installed figures have been corrected. Please see the Statistical News bulletin for further discusion.</t>
  </si>
  <si>
    <t>In 2018-19 the metric used in this table changed from per 1000 Dwellings to percentage of households as this both removes the bias in including unoccupied dwellings which are out of scope for home fire safety visits, and makes interpretation of these values easier.</t>
  </si>
  <si>
    <r>
      <t xml:space="preserve">Household data comes from </t>
    </r>
    <r>
      <rPr>
        <i/>
        <sz val="11"/>
        <rFont val="Calibri"/>
        <family val="2"/>
        <scheme val="minor"/>
      </rPr>
      <t>National Records of Scotland, Estimates of Households and Dwellings in Scotland</t>
    </r>
  </si>
  <si>
    <t>A systematic error in the smoke alarms data used for these statistics was discovered in 2018-19; this resulted in an overcount of the number of smoke alarms by an average of 29%. Consequently rates based on this have been corrected. Please see the Statistical News bulletin for further discusion.</t>
  </si>
  <si>
    <t>https://www.nrscotland.gov.uk/statistics-and-data/statistics/statistics-by-theme/households/household-estimates</t>
  </si>
  <si>
    <t>Non-repeat visits are those where the premises was not visited in the previous three years.</t>
  </si>
  <si>
    <t>A small proportion of home fire safety visits are to properties which were previously visited within the year. This table provides figures of the numbers of distinct properties visited in a one year, three year and five year period.</t>
  </si>
  <si>
    <t>A small proportion of home fire safety visits are to properties which were previously visited within the year. This table provides figures of the numbers of distinct properties visited in a one year, three year and five year period where smoke alarms were installed.</t>
  </si>
  <si>
    <t>These statistics are based on the number of distinct properties visited by SFRS over one year, three years and five years compared to the National Records of Scotland published Households statistics.</t>
  </si>
  <si>
    <t>These statistics are based on the number of distinct properties visited by SFRS over one year, three years and five years where smoke alarms were installed compared to the National Records of Scotland published Households statistics.</t>
  </si>
  <si>
    <t>This table presents aggregate figures of the residents of households visited. Where two people live in a household where one is aged 31 to 60 and the other aged over 60 then each person would be included in the appropriate total in this table regardless of whether they were in the home at the time of the visit. The total therefore provides the sum of all of the residents of every household which had a home fire safety visit.</t>
  </si>
  <si>
    <t>This table presents aggregate figures of the residents of households visited compared to the population of Scotland in each age range. In other words this is the percentage of the Scottish population who live in housholds which had a home fire safety visit by age range.</t>
  </si>
  <si>
    <r>
      <t xml:space="preserve">Population statistics are sourced from the National Records of Scotland </t>
    </r>
    <r>
      <rPr>
        <i/>
        <sz val="11"/>
        <color theme="1"/>
        <rFont val="Calibri"/>
        <family val="2"/>
        <scheme val="minor"/>
      </rPr>
      <t>Mid-year Population Estimates</t>
    </r>
  </si>
  <si>
    <t>https://www.nrscotland.gov.uk/statistics-and-data/statistics/statistics-by-theme/population/population-estimates/mid-year-population-estimates</t>
  </si>
  <si>
    <t>https://www2.gov.scot/Topics/Statistics/SIMD</t>
  </si>
  <si>
    <t>This table provides the number of home fire safety visits by the Scottish Index of Multiple Deprivation quintiles where 1 is the 20% most deprived areas and 5 is the 20% least deprived areas.</t>
  </si>
  <si>
    <t>A very small number of home fire safety visits could not be coded correctly as a result of missing coordinate information. This may be revised in future publications.</t>
  </si>
  <si>
    <t>All years will be revised at the next update</t>
  </si>
  <si>
    <t>This table provides the number of home fire safety visits by the Scottish Government published Urban-Rural 6 Fold index.</t>
  </si>
  <si>
    <t>This table provides the rate of home fire safety visits per 100 Occupied Dwellings, by the Scottish Index of Multiple Deprivation quintiles where 1 is the 20% most deprived areas and 5 is the 20% least deprived areas.</t>
  </si>
  <si>
    <t>https://www.nrscotland.gov.uk/statistics-and-data/statistics/statistics-by-theme/households/household-estimates/small-area-statistics-on-households-and-dwellings</t>
  </si>
  <si>
    <t>https://www2.gov.scot/Topics/Statistics/About/Methodology/UrbanRuralClassification</t>
  </si>
  <si>
    <t>This table provides the rate of home fire safety visits per 100 Occupied Dwellings, by the Scottish Government published Urban-Rural 6 Fold index.</t>
  </si>
  <si>
    <t>The number of Enforcement and Prohibition Notices provided is the count of workflows fully completed rather than the count of notices issued within the financial year. Workflows which require Formal Notices can take years to fully complete. We also publish a table on notices issued by financial year.</t>
  </si>
  <si>
    <t>Type A and Type B audits have been renamed to Audit - Broadly Compliant and Audit - Notable Deficiencies respectively.</t>
  </si>
  <si>
    <t>The number of Enforcement and Prohibition Notices provided is the count of workflows fully completed rather than the count of notices issued within the financial year. Workflows which require formal Notices can take years to fully complete. We also publish a table on the number of Formal Notices issued by financial year.</t>
  </si>
  <si>
    <t>Prohibition Notices may be issued without having first completed an audit, they are therefore recorded as Site Visits rather than Audits and are presented here for reader interest.</t>
  </si>
  <si>
    <t>We have withdrawn the formerly published risk statistics due to concerns around the methodology used. Please see the Statistical News bulletin or Guidance Notes for further details. We instead present risk statistics based on the results of the SFRS risk heuristic, we hve backdated to 2014-15.</t>
  </si>
  <si>
    <t>Please note that risks should only be compared within category, i.e. a medium risk hotel does not contain the same risk as a medium risk shop.</t>
  </si>
  <si>
    <t>Scotland (excluding boats)</t>
  </si>
  <si>
    <t>Council</t>
  </si>
  <si>
    <t>LACode</t>
  </si>
  <si>
    <t>LSOCode</t>
  </si>
  <si>
    <t>SDACode</t>
  </si>
  <si>
    <t>Table1a and 1b</t>
  </si>
  <si>
    <t>WTpm</t>
  </si>
  <si>
    <t>RDSpm</t>
  </si>
  <si>
    <t>Controlpm</t>
  </si>
  <si>
    <t>Supportpm</t>
  </si>
  <si>
    <t>Volpm</t>
  </si>
  <si>
    <t>Expr1000</t>
  </si>
  <si>
    <t>ReportingLevel</t>
  </si>
  <si>
    <t>Table2</t>
  </si>
  <si>
    <t>Table2a</t>
  </si>
  <si>
    <t>Type</t>
  </si>
  <si>
    <t>Table2b</t>
  </si>
  <si>
    <t>FTE</t>
  </si>
  <si>
    <t>Asset Management</t>
  </si>
  <si>
    <t>Business Support</t>
  </si>
  <si>
    <t>Finance &amp; Procurement</t>
  </si>
  <si>
    <t>Health, Safety and Organisational Wellbeing</t>
  </si>
  <si>
    <t>Human Resources Organisational Development</t>
  </si>
  <si>
    <t xml:space="preserve">Information Communication Technology </t>
  </si>
  <si>
    <t>Prevention and Protection</t>
  </si>
  <si>
    <t>Response and Resilience</t>
  </si>
  <si>
    <t>Senior Leadership Team</t>
  </si>
  <si>
    <t>Service Delivery</t>
  </si>
  <si>
    <t>Service Transformation</t>
  </si>
  <si>
    <t>Strategic Planning Performance and Communication</t>
  </si>
  <si>
    <t>Trainees</t>
  </si>
  <si>
    <t>Training and Employee Development</t>
  </si>
  <si>
    <t>Unit</t>
  </si>
  <si>
    <t>TotalHeadcount</t>
  </si>
  <si>
    <t>lvl</t>
  </si>
  <si>
    <t>Table3</t>
  </si>
  <si>
    <t>Table4a</t>
  </si>
  <si>
    <t>Table4b</t>
  </si>
  <si>
    <t>Table4c</t>
  </si>
  <si>
    <t>Table4d</t>
  </si>
  <si>
    <t>Table4e</t>
  </si>
  <si>
    <t>4:SDA</t>
  </si>
  <si>
    <t>Table5a</t>
  </si>
  <si>
    <t>Table5b</t>
  </si>
  <si>
    <t>Table5c</t>
  </si>
  <si>
    <t>Table5d</t>
  </si>
  <si>
    <t>WTFemale</t>
  </si>
  <si>
    <t>WTMale</t>
  </si>
  <si>
    <t>RDSFemale</t>
  </si>
  <si>
    <t>RDSMale</t>
  </si>
  <si>
    <t>ControlFemale</t>
  </si>
  <si>
    <t>ControlMale</t>
  </si>
  <si>
    <t>SupportFemale</t>
  </si>
  <si>
    <t>SupportMale</t>
  </si>
  <si>
    <t>VolFemale</t>
  </si>
  <si>
    <t>VolMale</t>
  </si>
  <si>
    <t>Table6</t>
  </si>
  <si>
    <t>Watch manager</t>
  </si>
  <si>
    <t>PostConv</t>
  </si>
  <si>
    <t>Table7</t>
  </si>
  <si>
    <t>Table8</t>
  </si>
  <si>
    <t>Table9</t>
  </si>
  <si>
    <t>20-29</t>
  </si>
  <si>
    <t>30-39</t>
  </si>
  <si>
    <t>55-65</t>
  </si>
  <si>
    <t>66 and over</t>
  </si>
  <si>
    <t>Not Recorded</t>
  </si>
  <si>
    <t>AgeRange</t>
  </si>
  <si>
    <t>Table10</t>
  </si>
  <si>
    <t>ServiceLength</t>
  </si>
  <si>
    <t>Dismissal</t>
  </si>
  <si>
    <t>End of contract</t>
  </si>
  <si>
    <t>Resignation</t>
  </si>
  <si>
    <t>Retirement - 30 Years Service</t>
  </si>
  <si>
    <t>Retirement - Age</t>
  </si>
  <si>
    <t>Retirement - Early</t>
  </si>
  <si>
    <t>Retirement - Health</t>
  </si>
  <si>
    <t>Transfer - To another F&amp;R Service</t>
  </si>
  <si>
    <t>TUPE Transfer</t>
  </si>
  <si>
    <t>Voluntary Severance</t>
  </si>
  <si>
    <t>LeavingReason</t>
  </si>
  <si>
    <t>Total Of Headcount</t>
  </si>
  <si>
    <t>Total Of PositionRef</t>
  </si>
  <si>
    <t>2018</t>
  </si>
  <si>
    <t>Disabled</t>
  </si>
  <si>
    <t>Not Disabled</t>
  </si>
  <si>
    <t>Not Known</t>
  </si>
  <si>
    <t>FYear</t>
  </si>
  <si>
    <t>DisStat</t>
  </si>
  <si>
    <t>Total_ex_Vol</t>
  </si>
  <si>
    <t>Table11</t>
  </si>
  <si>
    <t>Status</t>
  </si>
  <si>
    <t>Table12</t>
  </si>
  <si>
    <t>Day</t>
  </si>
  <si>
    <t>Total Of Station</t>
  </si>
  <si>
    <t>Injuries</t>
  </si>
  <si>
    <t>Objects thrown at firefighters/appliances</t>
  </si>
  <si>
    <t>Physical abuse</t>
  </si>
  <si>
    <t>Verbal abuse</t>
  </si>
  <si>
    <t>Other acts of aggression</t>
  </si>
  <si>
    <t>CategoryPrior</t>
  </si>
  <si>
    <t>CPrior</t>
  </si>
  <si>
    <t>2010-11</t>
  </si>
  <si>
    <t>VisitAlarmInstalled</t>
  </si>
  <si>
    <t>VisitAdviceOnly</t>
  </si>
  <si>
    <t>TotalVisits</t>
  </si>
  <si>
    <t>TotalAlarms</t>
  </si>
  <si>
    <t>TotalNewAlarms</t>
  </si>
  <si>
    <t>TotalReplacedAlarms</t>
  </si>
  <si>
    <t>TotalPerHouseholds</t>
  </si>
  <si>
    <t>AlarmsPerHouseholds</t>
  </si>
  <si>
    <t>under5</t>
  </si>
  <si>
    <t>17-30</t>
  </si>
  <si>
    <t>31-60</t>
  </si>
  <si>
    <t>over60</t>
  </si>
  <si>
    <t>allpeople</t>
  </si>
  <si>
    <t>pcunder5</t>
  </si>
  <si>
    <t>pc5-10</t>
  </si>
  <si>
    <t>pc11-16</t>
  </si>
  <si>
    <t>pc17-30</t>
  </si>
  <si>
    <t>pc31-60</t>
  </si>
  <si>
    <t>pcover60</t>
  </si>
  <si>
    <t>pcallpeople</t>
  </si>
  <si>
    <t>popunder5</t>
  </si>
  <si>
    <t>pop5-10</t>
  </si>
  <si>
    <t>pop11-16</t>
  </si>
  <si>
    <t>pop17-30</t>
  </si>
  <si>
    <t>pop31-60</t>
  </si>
  <si>
    <t>popover60</t>
  </si>
  <si>
    <t>AllAges</t>
  </si>
  <si>
    <t>withAlarmsInstalled</t>
  </si>
  <si>
    <t>Counted</t>
  </si>
  <si>
    <t>OneYrDistinct</t>
  </si>
  <si>
    <t>ThreeYrDistinct</t>
  </si>
  <si>
    <t>FiveYrDistinct</t>
  </si>
  <si>
    <t>OneYrDistinctNew</t>
  </si>
  <si>
    <t>HouseholdsinYr</t>
  </si>
  <si>
    <t>HouseholdsThreeYrAv</t>
  </si>
  <si>
    <t>HouseholdsFiveYrAv</t>
  </si>
  <si>
    <t>pcOYDH</t>
  </si>
  <si>
    <t>pcTYDH</t>
  </si>
  <si>
    <t>pcFYDH</t>
  </si>
  <si>
    <t>per100occupieddwellings</t>
  </si>
  <si>
    <t>Visits</t>
  </si>
  <si>
    <t>Category_D_Audits</t>
  </si>
  <si>
    <t>ur</t>
  </si>
  <si>
    <t>Fiscal_Yr_New</t>
  </si>
  <si>
    <t>Total Of Total Of UniqueID</t>
  </si>
  <si>
    <t>AN</t>
  </si>
  <si>
    <t>EN</t>
  </si>
  <si>
    <t>PN</t>
  </si>
  <si>
    <t>GSSCode</t>
  </si>
  <si>
    <t>Dwellings</t>
  </si>
  <si>
    <t>VisitsPer100Dwelling</t>
  </si>
  <si>
    <t>AlarmsPer100Dwelling</t>
  </si>
  <si>
    <t>VisitsPer100Household</t>
  </si>
  <si>
    <t>AlarmsPer100Household</t>
  </si>
  <si>
    <t>Audit</t>
  </si>
  <si>
    <t>Consultation</t>
  </si>
  <si>
    <t>Specific Visit</t>
  </si>
  <si>
    <t>#All_Audits</t>
  </si>
  <si>
    <t>All_Audits</t>
  </si>
  <si>
    <t>Other Workplace</t>
  </si>
  <si>
    <t>FSEC</t>
  </si>
  <si>
    <t>PremisesType</t>
  </si>
  <si>
    <t>2009-10</t>
  </si>
  <si>
    <t>Total Of PremisesVisited</t>
  </si>
  <si>
    <t>A_Tally</t>
  </si>
  <si>
    <t>A_Hours</t>
  </si>
  <si>
    <t>B_Tally</t>
  </si>
  <si>
    <t>B_Hours</t>
  </si>
  <si>
    <t>Enforcement_Tally</t>
  </si>
  <si>
    <t>Enforcement_Hours</t>
  </si>
  <si>
    <t>Prohibition_Tally</t>
  </si>
  <si>
    <t>Prohibition_Hours</t>
  </si>
  <si>
    <t>Tally</t>
  </si>
  <si>
    <t>VH</t>
  </si>
  <si>
    <t>VL</t>
  </si>
  <si>
    <t xml:space="preserve"> - Geographic Reporting Structure</t>
  </si>
  <si>
    <t>Local authorities with an * have alarms installed in more than 40% of visits.</t>
  </si>
  <si>
    <t>ERRATUM - The count of Station Managers in 2016-17 has been corrected, there is an increase of 1 in Inverclyde Local Authority, the figures now aggregate correctly.
                     - The count of Watch Managers in 2018-19 has been corrected, there is an increase of 2 in Highlands LSO area, the figures now aggregate correctly.</t>
  </si>
  <si>
    <t>ERRATUM - This table was corrected in September 2019</t>
  </si>
  <si>
    <t>ERRATUM - Staff Type by Role and Geographical Area tables were corrected in September 2019 to resolve aggregation into headline figures.</t>
  </si>
  <si>
    <t>The figures for 2016-17 and 2015-16 were corrected in September 2019 to resolve an aggregation issue.</t>
  </si>
  <si>
    <t>ERRATUM - The count of Watch Managers in 2018-19 has been corrected, there is an increase of 2 in Highlands LSO area, the figures now aggregate correctly.
                     -Rounding issues on Scotland Total figures have been corrected</t>
  </si>
  <si>
    <t>The figures for 2016-17 were corrected in September 2019 to resolve an aggregation issue.</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</si>
</sst>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_(* #,##0_);_(* \(#,##0\);_(* &quot;-&quot;_);_(@_)"/>
    <numFmt numFmtId="165" formatCode="_(* #,##0.00_);_(* \(#,##0.00\);_(* &quot;-&quot;??_);_(@_)"/>
    <numFmt numFmtId="166" formatCode="_-* #,##0_-;\-* #,##0_-;_-* &quot;-&quot;??_-;_-@_-"/>
    <numFmt numFmtId="167" formatCode="#,##0_ ;\-#,##0\ "/>
    <numFmt numFmtId="168" formatCode="0.0%"/>
    <numFmt numFmtId="169" formatCode="_-* #,##0_-;\-* #,##0_-;_-* &quot;- &quot;"/>
    <numFmt numFmtId="170" formatCode="_-* #,##0\ ;\-* #,##0\ ;_-* &quot;-&quot;\ "/>
    <numFmt numFmtId="171" formatCode="_-* #,##0_-;\-* #,##0_-;_-* &quot;- &quot;;_-@_-"/>
    <numFmt numFmtId="172" formatCode="0.0"/>
    <numFmt numFmtId="173" formatCode="#,##0.0"/>
    <numFmt numFmtId="174" formatCode="#,##0;\ \-#,##0;\ &quot;- &quot;"/>
    <numFmt numFmtId="175" formatCode="_-* #,##0.0_-;\-* #,##0.0_-;_-* &quot;- &quot;"/>
    <numFmt numFmtId="176" formatCode="#,##0.00_ ;\-#,##0.00\ "/>
    <numFmt numFmtId="177" formatCode="_-* #,##0.0_-;\-* #,##0.0_-;_-* &quot;-&quot;?_-;_-@_-"/>
  </numFmts>
  <fonts count="52" x14ac:knownFonts="1">
    <font>
      <sz val="11"/>
      <color theme="1"/>
      <name val="Calibri"/>
      <family val="2"/>
      <scheme val="minor"/>
    </font>
    <font>
      <sz val="11"/>
      <color theme="1"/>
      <name val="Calibri"/>
      <family val="2"/>
      <scheme val="minor"/>
    </font>
    <font>
      <sz val="12"/>
      <color rgb="FF000000"/>
      <name val="Calibri"/>
      <family val="2"/>
    </font>
    <font>
      <u/>
      <sz val="10"/>
      <color indexed="12"/>
      <name val="Arial"/>
      <family val="2"/>
    </font>
    <font>
      <vertAlign val="superscript"/>
      <sz val="12"/>
      <color rgb="FF000000"/>
      <name val="Calibri"/>
      <family val="2"/>
    </font>
    <font>
      <sz val="10"/>
      <name val="Arial"/>
      <family val="2"/>
    </font>
    <font>
      <sz val="12"/>
      <name val="Arial"/>
      <family val="2"/>
    </font>
    <font>
      <sz val="14"/>
      <name val="Arial"/>
      <family val="2"/>
    </font>
    <font>
      <b/>
      <sz val="12"/>
      <name val="Arial"/>
      <family val="2"/>
    </font>
    <font>
      <b/>
      <sz val="10"/>
      <name val="Arial"/>
      <family val="2"/>
    </font>
    <font>
      <b/>
      <i/>
      <sz val="10"/>
      <name val="Arial"/>
      <family val="2"/>
    </font>
    <font>
      <i/>
      <sz val="10"/>
      <name val="Arial"/>
      <family val="2"/>
    </font>
    <font>
      <sz val="10"/>
      <color rgb="FFFF0000"/>
      <name val="Arial"/>
      <family val="2"/>
    </font>
    <font>
      <sz val="11"/>
      <name val="Arial"/>
      <family val="2"/>
    </font>
    <font>
      <b/>
      <sz val="11"/>
      <name val="Arial"/>
      <family val="2"/>
    </font>
    <font>
      <sz val="10"/>
      <color indexed="8"/>
      <name val="Arial"/>
      <family val="2"/>
    </font>
    <font>
      <b/>
      <sz val="11"/>
      <name val="Calibri"/>
      <family val="2"/>
      <scheme val="minor"/>
    </font>
    <font>
      <b/>
      <sz val="18"/>
      <color indexed="56"/>
      <name val="Arial"/>
      <family val="2"/>
    </font>
    <font>
      <u/>
      <sz val="10"/>
      <name val="Arial"/>
      <family val="2"/>
    </font>
    <font>
      <b/>
      <sz val="9"/>
      <name val="Arial"/>
      <family val="2"/>
    </font>
    <font>
      <b/>
      <sz val="15"/>
      <color indexed="56"/>
      <name val="Calibri"/>
      <family val="2"/>
    </font>
    <font>
      <b/>
      <sz val="13"/>
      <color indexed="56"/>
      <name val="Calibri"/>
      <family val="2"/>
    </font>
    <font>
      <b/>
      <i/>
      <sz val="11"/>
      <name val="Arial"/>
      <family val="2"/>
    </font>
    <font>
      <sz val="10"/>
      <color theme="1"/>
      <name val="Arial"/>
      <family val="2"/>
    </font>
    <font>
      <sz val="12"/>
      <color theme="1"/>
      <name val="Calibri"/>
      <family val="2"/>
      <scheme val="minor"/>
    </font>
    <font>
      <b/>
      <sz val="11"/>
      <color theme="1"/>
      <name val="Calibri"/>
      <family val="2"/>
      <scheme val="minor"/>
    </font>
    <font>
      <sz val="11"/>
      <color theme="0"/>
      <name val="Calibri"/>
      <family val="2"/>
      <scheme val="minor"/>
    </font>
    <font>
      <b/>
      <i/>
      <sz val="9"/>
      <name val="Arial"/>
      <family val="2"/>
    </font>
    <font>
      <b/>
      <sz val="16"/>
      <color rgb="FF595959"/>
      <name val="Calibri"/>
      <family val="2"/>
      <scheme val="minor"/>
    </font>
    <font>
      <b/>
      <sz val="16"/>
      <color theme="1" tint="0.249977111117893"/>
      <name val="Calibri"/>
      <family val="2"/>
      <scheme val="minor"/>
    </font>
    <font>
      <sz val="12"/>
      <color rgb="FF000000"/>
      <name val="Calibri"/>
      <family val="2"/>
      <scheme val="minor"/>
    </font>
    <font>
      <i/>
      <sz val="12"/>
      <color rgb="FF000000"/>
      <name val="Calibri"/>
      <family val="2"/>
      <scheme val="minor"/>
    </font>
    <font>
      <vertAlign val="superscript"/>
      <sz val="12"/>
      <color rgb="FF000000"/>
      <name val="Calibri"/>
      <family val="2"/>
      <scheme val="minor"/>
    </font>
    <font>
      <sz val="11"/>
      <color theme="1"/>
      <name val="Arial"/>
      <family val="2"/>
    </font>
    <font>
      <sz val="11"/>
      <name val="Calibri"/>
      <family val="2"/>
      <scheme val="minor"/>
    </font>
    <font>
      <sz val="11"/>
      <color rgb="FF000000"/>
      <name val="Calibri"/>
      <family val="2"/>
      <scheme val="minor"/>
    </font>
    <font>
      <u/>
      <sz val="11"/>
      <color indexed="12"/>
      <name val="Calibri"/>
      <family val="2"/>
      <scheme val="minor"/>
    </font>
    <font>
      <b/>
      <i/>
      <sz val="11"/>
      <name val="Calibri"/>
      <family val="2"/>
      <scheme val="minor"/>
    </font>
    <font>
      <i/>
      <sz val="11"/>
      <name val="Calibri"/>
      <family val="2"/>
      <scheme val="minor"/>
    </font>
    <font>
      <sz val="11"/>
      <color theme="1"/>
      <name val="Calibri"/>
      <family val="2"/>
    </font>
    <font>
      <u/>
      <sz val="12"/>
      <color indexed="12"/>
      <name val="Calibri"/>
      <family val="2"/>
      <scheme val="minor"/>
    </font>
    <font>
      <b/>
      <sz val="18"/>
      <color theme="1" tint="0.249977111117893"/>
      <name val="Calibri"/>
      <family val="2"/>
      <scheme val="minor"/>
    </font>
    <font>
      <sz val="11"/>
      <color rgb="FFFF0000"/>
      <name val="Calibri"/>
      <family val="2"/>
      <scheme val="minor"/>
    </font>
    <font>
      <b/>
      <u/>
      <sz val="12"/>
      <name val="Arial"/>
      <family val="2"/>
    </font>
    <font>
      <b/>
      <sz val="11"/>
      <color theme="1" tint="0.14999847407452621"/>
      <name val="Calibri"/>
      <family val="2"/>
      <scheme val="minor"/>
    </font>
    <font>
      <sz val="11"/>
      <color theme="1" tint="0.14999847407452621"/>
      <name val="Calibri"/>
      <family val="2"/>
      <scheme val="minor"/>
    </font>
    <font>
      <i/>
      <sz val="11"/>
      <color theme="1"/>
      <name val="Calibri"/>
      <family val="2"/>
      <scheme val="minor"/>
    </font>
    <font>
      <b/>
      <i/>
      <u/>
      <sz val="11"/>
      <color theme="1"/>
      <name val="Calibri"/>
      <family val="2"/>
      <scheme val="minor"/>
    </font>
    <font>
      <b/>
      <i/>
      <u/>
      <sz val="10"/>
      <name val="Arial"/>
      <family val="2"/>
    </font>
    <font>
      <u/>
      <sz val="11"/>
      <color theme="1"/>
      <name val="Calibri"/>
      <family val="2"/>
      <scheme val="minor"/>
    </font>
    <font>
      <b/>
      <sz val="12"/>
      <color theme="1"/>
      <name val="Calibri"/>
      <family val="2"/>
      <scheme val="minor"/>
    </font>
    <font>
      <sz val="10"/>
      <color rgb="FF000000"/>
      <name val="Segoe UI"/>
      <family val="2"/>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indexed="41"/>
        <bgColor indexed="64"/>
      </patternFill>
    </fill>
  </fills>
  <borders count="33">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theme="4"/>
      </top>
      <bottom/>
      <diagonal/>
    </border>
    <border>
      <left/>
      <right/>
      <top/>
      <bottom style="thick">
        <color indexed="22"/>
      </bottom>
      <diagonal/>
    </border>
    <border>
      <left/>
      <right/>
      <top style="thin">
        <color theme="1"/>
      </top>
      <bottom/>
      <diagonal/>
    </border>
    <border>
      <left/>
      <right/>
      <top/>
      <bottom style="thin">
        <color theme="2" tint="-0.749992370372631"/>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theme="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theme="1"/>
      </bottom>
      <diagonal/>
    </border>
    <border>
      <left/>
      <right/>
      <top style="thin">
        <color indexed="64"/>
      </top>
      <bottom style="thin">
        <color theme="1"/>
      </bottom>
      <diagonal/>
    </border>
    <border>
      <left style="thin">
        <color indexed="64"/>
      </left>
      <right style="thin">
        <color indexed="64"/>
      </right>
      <top style="thin">
        <color theme="1"/>
      </top>
      <bottom/>
      <diagonal/>
    </border>
    <border>
      <left style="thin">
        <color indexed="55"/>
      </left>
      <right style="thin">
        <color indexed="55"/>
      </right>
      <top style="thin">
        <color indexed="55"/>
      </top>
      <bottom style="thin">
        <color indexed="55"/>
      </bottom>
      <diagonal/>
    </border>
  </borders>
  <cellStyleXfs count="23">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xf numFmtId="0" fontId="5" fillId="0" borderId="0"/>
    <xf numFmtId="0" fontId="15" fillId="0" borderId="0"/>
    <xf numFmtId="0" fontId="5" fillId="0" borderId="0"/>
    <xf numFmtId="0" fontId="15" fillId="0" borderId="0"/>
    <xf numFmtId="0" fontId="17" fillId="0" borderId="0" applyNumberFormat="0" applyFill="0" applyBorder="0" applyProtection="0">
      <alignment wrapText="1"/>
    </xf>
    <xf numFmtId="0" fontId="15" fillId="0" borderId="0"/>
    <xf numFmtId="0" fontId="15" fillId="0" borderId="0"/>
    <xf numFmtId="0" fontId="20" fillId="0" borderId="0" applyNumberFormat="0" applyFill="0" applyAlignment="0" applyProtection="0"/>
    <xf numFmtId="0" fontId="15" fillId="0" borderId="0"/>
    <xf numFmtId="0" fontId="15" fillId="0" borderId="0"/>
    <xf numFmtId="0" fontId="21" fillId="0" borderId="7" applyNumberFormat="0" applyFill="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15" fillId="0" borderId="0"/>
    <xf numFmtId="0" fontId="23" fillId="0" borderId="0"/>
    <xf numFmtId="165" fontId="23" fillId="0" borderId="0" applyFont="0" applyFill="0" applyBorder="0" applyAlignment="0" applyProtection="0"/>
    <xf numFmtId="9" fontId="23" fillId="0" borderId="0" applyFont="0" applyFill="0" applyBorder="0" applyAlignment="0" applyProtection="0"/>
  </cellStyleXfs>
  <cellXfs count="1049">
    <xf numFmtId="0" fontId="0" fillId="0" borderId="0" xfId="0"/>
    <xf numFmtId="0" fontId="7" fillId="2" borderId="0" xfId="0" applyFont="1" applyFill="1"/>
    <xf numFmtId="0" fontId="9" fillId="0" borderId="1" xfId="0" applyFont="1" applyFill="1" applyBorder="1"/>
    <xf numFmtId="0" fontId="9" fillId="0" borderId="1" xfId="0" applyFont="1" applyFill="1" applyBorder="1" applyAlignment="1">
      <alignment horizontal="right" wrapText="1"/>
    </xf>
    <xf numFmtId="0" fontId="9" fillId="0" borderId="0" xfId="0" applyFont="1" applyFill="1" applyBorder="1" applyAlignment="1">
      <alignment horizontal="right" wrapText="1"/>
    </xf>
    <xf numFmtId="0" fontId="9" fillId="0" borderId="0" xfId="0" applyFont="1" applyFill="1" applyBorder="1" applyAlignment="1">
      <alignment horizontal="left"/>
    </xf>
    <xf numFmtId="0" fontId="9" fillId="0" borderId="0" xfId="0" applyFont="1" applyFill="1" applyBorder="1" applyAlignment="1">
      <alignment horizontal="left" vertical="center"/>
    </xf>
    <xf numFmtId="0" fontId="7" fillId="0" borderId="0" xfId="0" applyFont="1" applyFill="1"/>
    <xf numFmtId="0" fontId="9" fillId="0" borderId="0" xfId="0" applyFont="1" applyFill="1" applyBorder="1" applyAlignment="1">
      <alignment vertical="center" wrapText="1"/>
    </xf>
    <xf numFmtId="167" fontId="5" fillId="0" borderId="2" xfId="0" applyNumberFormat="1" applyFont="1" applyFill="1" applyBorder="1"/>
    <xf numFmtId="167" fontId="5" fillId="0" borderId="0" xfId="0" applyNumberFormat="1" applyFont="1" applyFill="1" applyBorder="1"/>
    <xf numFmtId="0" fontId="10" fillId="0" borderId="3" xfId="0" applyFont="1" applyFill="1" applyBorder="1" applyAlignment="1">
      <alignment wrapText="1"/>
    </xf>
    <xf numFmtId="168" fontId="11" fillId="0" borderId="3" xfId="2" applyNumberFormat="1" applyFont="1" applyFill="1" applyBorder="1" applyAlignment="1">
      <alignment horizontal="right" wrapText="1"/>
    </xf>
    <xf numFmtId="0" fontId="9" fillId="0" borderId="0" xfId="0" applyFont="1" applyFill="1" applyBorder="1"/>
    <xf numFmtId="0" fontId="5" fillId="0" borderId="0" xfId="0" applyFont="1" applyFill="1" applyBorder="1" applyAlignment="1">
      <alignment horizontal="right" wrapText="1"/>
    </xf>
    <xf numFmtId="166" fontId="5" fillId="0" borderId="0" xfId="0" applyNumberFormat="1" applyFont="1" applyFill="1" applyBorder="1" applyAlignment="1">
      <alignment horizontal="right" wrapText="1"/>
    </xf>
    <xf numFmtId="0" fontId="5" fillId="0" borderId="0" xfId="0" applyFont="1" applyFill="1"/>
    <xf numFmtId="3" fontId="5" fillId="0" borderId="0" xfId="0" applyNumberFormat="1" applyFont="1" applyFill="1" applyBorder="1" applyAlignment="1">
      <alignment horizontal="right" wrapText="1"/>
    </xf>
    <xf numFmtId="0" fontId="7" fillId="0" borderId="0" xfId="0" applyFont="1" applyFill="1" applyBorder="1"/>
    <xf numFmtId="0" fontId="9" fillId="0" borderId="1" xfId="0" applyFont="1" applyFill="1" applyBorder="1" applyAlignment="1">
      <alignment horizontal="left"/>
    </xf>
    <xf numFmtId="3" fontId="5" fillId="0" borderId="0" xfId="0" applyNumberFormat="1" applyFont="1" applyFill="1" applyBorder="1" applyAlignment="1">
      <alignment horizontal="right" vertical="center" wrapText="1"/>
    </xf>
    <xf numFmtId="0" fontId="7" fillId="0" borderId="0" xfId="0" applyFont="1" applyFill="1" applyBorder="1" applyAlignment="1">
      <alignment vertical="center"/>
    </xf>
    <xf numFmtId="3" fontId="9" fillId="0" borderId="0" xfId="0" applyNumberFormat="1" applyFont="1" applyFill="1" applyBorder="1" applyAlignment="1">
      <alignment horizontal="right" vertical="center" wrapText="1"/>
    </xf>
    <xf numFmtId="0" fontId="5" fillId="0" borderId="0" xfId="0" applyFont="1" applyFill="1" applyBorder="1" applyAlignment="1">
      <alignment vertical="center"/>
    </xf>
    <xf numFmtId="0" fontId="5" fillId="0" borderId="1" xfId="0" applyFont="1" applyFill="1" applyBorder="1"/>
    <xf numFmtId="0" fontId="9" fillId="0" borderId="0" xfId="0" applyFont="1" applyFill="1" applyBorder="1" applyAlignment="1">
      <alignment wrapText="1"/>
    </xf>
    <xf numFmtId="1" fontId="5" fillId="0" borderId="0" xfId="0" applyNumberFormat="1" applyFont="1" applyFill="1" applyBorder="1"/>
    <xf numFmtId="0" fontId="5" fillId="0" borderId="0" xfId="0" applyFont="1" applyFill="1" applyAlignment="1">
      <alignment wrapText="1"/>
    </xf>
    <xf numFmtId="0" fontId="5" fillId="0" borderId="0" xfId="0" applyFont="1" applyFill="1" applyBorder="1"/>
    <xf numFmtId="168" fontId="5" fillId="0" borderId="0" xfId="0" applyNumberFormat="1" applyFont="1" applyFill="1" applyAlignment="1">
      <alignment horizontal="right" wrapText="1"/>
    </xf>
    <xf numFmtId="0" fontId="9" fillId="0" borderId="0" xfId="0" applyFont="1" applyFill="1"/>
    <xf numFmtId="0" fontId="5" fillId="2" borderId="0" xfId="0" applyFont="1" applyFill="1"/>
    <xf numFmtId="0" fontId="8" fillId="0" borderId="1" xfId="0" applyFont="1" applyFill="1" applyBorder="1" applyAlignment="1">
      <alignment horizontal="left" vertical="center" wrapText="1"/>
    </xf>
    <xf numFmtId="164" fontId="5" fillId="0" borderId="0" xfId="0" applyNumberFormat="1" applyFont="1" applyFill="1" applyAlignment="1">
      <alignment horizontal="right"/>
    </xf>
    <xf numFmtId="0" fontId="9" fillId="0" borderId="3" xfId="0" applyFont="1" applyFill="1" applyBorder="1" applyAlignment="1">
      <alignment vertical="center"/>
    </xf>
    <xf numFmtId="9" fontId="10" fillId="0" borderId="4"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Alignment="1">
      <alignment vertical="center"/>
    </xf>
    <xf numFmtId="9" fontId="9" fillId="0" borderId="0" xfId="0" applyNumberFormat="1" applyFont="1" applyFill="1" applyBorder="1" applyAlignment="1">
      <alignment vertical="center"/>
    </xf>
    <xf numFmtId="0" fontId="9" fillId="0" borderId="5" xfId="0" applyFont="1" applyFill="1" applyBorder="1" applyAlignment="1">
      <alignment horizontal="center" wrapText="1"/>
    </xf>
    <xf numFmtId="0" fontId="9" fillId="0" borderId="2" xfId="0" applyFont="1" applyFill="1" applyBorder="1"/>
    <xf numFmtId="0" fontId="9" fillId="0" borderId="4" xfId="0" applyFont="1" applyFill="1" applyBorder="1" applyAlignment="1">
      <alignment vertical="center"/>
    </xf>
    <xf numFmtId="0" fontId="5" fillId="0" borderId="0" xfId="0" applyFont="1" applyFill="1" applyBorder="1" applyAlignment="1">
      <alignment wrapText="1"/>
    </xf>
    <xf numFmtId="0" fontId="5" fillId="0" borderId="0" xfId="0" applyFont="1" applyFill="1" applyBorder="1" applyAlignment="1">
      <alignment horizontal="right"/>
    </xf>
    <xf numFmtId="0" fontId="9" fillId="0" borderId="3" xfId="0" applyFont="1" applyFill="1" applyBorder="1"/>
    <xf numFmtId="0" fontId="5" fillId="0" borderId="0" xfId="0" applyFont="1" applyFill="1" applyAlignment="1">
      <alignment vertical="center"/>
    </xf>
    <xf numFmtId="0" fontId="13" fillId="2" borderId="0" xfId="0" applyFont="1" applyFill="1"/>
    <xf numFmtId="0" fontId="14" fillId="0" borderId="0" xfId="0" applyFont="1" applyFill="1" applyBorder="1" applyAlignment="1"/>
    <xf numFmtId="0" fontId="9" fillId="0" borderId="0" xfId="5" applyFont="1" applyFill="1" applyBorder="1" applyAlignment="1">
      <alignment horizontal="right" wrapText="1"/>
    </xf>
    <xf numFmtId="0" fontId="14" fillId="0" borderId="4" xfId="5" applyFont="1" applyFill="1" applyBorder="1" applyAlignment="1">
      <alignment horizontal="left" vertical="center"/>
    </xf>
    <xf numFmtId="0" fontId="14" fillId="0" borderId="0" xfId="5" applyFont="1" applyFill="1" applyBorder="1" applyAlignment="1">
      <alignment horizontal="left" vertical="center"/>
    </xf>
    <xf numFmtId="3" fontId="9" fillId="0" borderId="0" xfId="5" applyNumberFormat="1" applyFont="1" applyFill="1" applyBorder="1" applyAlignment="1">
      <alignment horizontal="right" vertical="center" wrapText="1"/>
    </xf>
    <xf numFmtId="3" fontId="9" fillId="0" borderId="0" xfId="0" applyNumberFormat="1" applyFont="1" applyFill="1" applyBorder="1" applyAlignment="1">
      <alignment vertical="center"/>
    </xf>
    <xf numFmtId="0" fontId="14" fillId="0" borderId="1" xfId="5" applyFont="1" applyFill="1" applyBorder="1" applyAlignment="1">
      <alignment horizontal="left"/>
    </xf>
    <xf numFmtId="3" fontId="9" fillId="0" borderId="1" xfId="5" applyNumberFormat="1" applyFont="1" applyFill="1" applyBorder="1" applyAlignment="1">
      <alignment horizontal="right" wrapText="1"/>
    </xf>
    <xf numFmtId="3" fontId="9" fillId="0" borderId="0" xfId="5" applyNumberFormat="1" applyFont="1" applyFill="1" applyBorder="1" applyAlignment="1">
      <alignment horizontal="right" wrapText="1"/>
    </xf>
    <xf numFmtId="0" fontId="9" fillId="0" borderId="6" xfId="5" applyNumberFormat="1" applyFont="1" applyFill="1" applyBorder="1" applyAlignment="1">
      <alignment horizontal="left"/>
    </xf>
    <xf numFmtId="3" fontId="5" fillId="0" borderId="0" xfId="5" applyNumberFormat="1" applyFont="1" applyFill="1" applyBorder="1" applyAlignment="1">
      <alignment horizontal="right" wrapText="1"/>
    </xf>
    <xf numFmtId="3" fontId="9" fillId="0" borderId="0" xfId="0" applyNumberFormat="1" applyFont="1" applyFill="1" applyBorder="1"/>
    <xf numFmtId="0" fontId="9" fillId="0" borderId="0" xfId="5" applyNumberFormat="1" applyFont="1" applyFill="1" applyBorder="1" applyAlignment="1">
      <alignment horizontal="left"/>
    </xf>
    <xf numFmtId="164" fontId="5" fillId="0" borderId="0" xfId="6" applyNumberFormat="1" applyFont="1" applyFill="1" applyBorder="1" applyAlignment="1"/>
    <xf numFmtId="164" fontId="5" fillId="0" borderId="0" xfId="0" applyNumberFormat="1" applyFont="1" applyFill="1"/>
    <xf numFmtId="164" fontId="5" fillId="0" borderId="0" xfId="0" applyNumberFormat="1" applyFont="1" applyFill="1" applyBorder="1" applyAlignment="1">
      <alignment horizontal="right"/>
    </xf>
    <xf numFmtId="0" fontId="9" fillId="0" borderId="4" xfId="5" applyNumberFormat="1" applyFont="1" applyFill="1" applyBorder="1" applyAlignment="1">
      <alignment horizontal="left" vertical="center"/>
    </xf>
    <xf numFmtId="3" fontId="9" fillId="0" borderId="4" xfId="5" applyNumberFormat="1" applyFont="1" applyFill="1" applyBorder="1" applyAlignment="1">
      <alignment horizontal="right" vertical="center" wrapText="1"/>
    </xf>
    <xf numFmtId="0" fontId="9" fillId="0" borderId="0" xfId="5" applyFont="1" applyFill="1" applyBorder="1" applyAlignment="1">
      <alignment horizontal="left"/>
    </xf>
    <xf numFmtId="0" fontId="14" fillId="0" borderId="0" xfId="5" applyFont="1" applyFill="1" applyBorder="1" applyAlignment="1">
      <alignment horizontal="left" vertical="center" wrapText="1"/>
    </xf>
    <xf numFmtId="3" fontId="9" fillId="0" borderId="0" xfId="0" applyNumberFormat="1" applyFont="1" applyFill="1" applyBorder="1" applyAlignment="1">
      <alignment horizontal="right" vertical="center"/>
    </xf>
    <xf numFmtId="49" fontId="9" fillId="0" borderId="2" xfId="5" applyNumberFormat="1" applyFont="1" applyFill="1" applyBorder="1" applyAlignment="1">
      <alignment horizontal="left" wrapText="1"/>
    </xf>
    <xf numFmtId="164" fontId="5" fillId="0" borderId="2" xfId="6" applyNumberFormat="1" applyFont="1" applyFill="1" applyBorder="1" applyAlignment="1"/>
    <xf numFmtId="49" fontId="9" fillId="0" borderId="0" xfId="5" applyNumberFormat="1" applyFont="1" applyFill="1" applyBorder="1" applyAlignment="1">
      <alignment horizontal="left" vertical="center" wrapText="1"/>
    </xf>
    <xf numFmtId="0" fontId="9" fillId="0" borderId="4" xfId="5" applyNumberFormat="1" applyFont="1" applyFill="1" applyBorder="1" applyAlignment="1">
      <alignment horizontal="left" vertical="center" wrapText="1"/>
    </xf>
    <xf numFmtId="164" fontId="9" fillId="0" borderId="4" xfId="5" applyNumberFormat="1" applyFont="1" applyFill="1" applyBorder="1" applyAlignment="1">
      <alignment horizontal="right" vertical="center" wrapText="1"/>
    </xf>
    <xf numFmtId="0" fontId="14" fillId="0" borderId="0" xfId="0" applyFont="1" applyFill="1"/>
    <xf numFmtId="0" fontId="9" fillId="0" borderId="2" xfId="5" applyNumberFormat="1" applyFont="1" applyFill="1" applyBorder="1" applyAlignment="1">
      <alignment horizontal="left"/>
    </xf>
    <xf numFmtId="3" fontId="9" fillId="0" borderId="2" xfId="0" applyNumberFormat="1" applyFont="1" applyFill="1" applyBorder="1"/>
    <xf numFmtId="0" fontId="9" fillId="0" borderId="4" xfId="5" applyFont="1" applyFill="1" applyBorder="1" applyAlignment="1">
      <alignment horizontal="left" vertical="center"/>
    </xf>
    <xf numFmtId="3" fontId="9" fillId="0" borderId="0" xfId="0" applyNumberFormat="1" applyFont="1" applyFill="1" applyBorder="1" applyAlignment="1">
      <alignment horizontal="right"/>
    </xf>
    <xf numFmtId="0" fontId="14" fillId="0" borderId="4" xfId="0" applyFont="1" applyFill="1" applyBorder="1" applyAlignment="1">
      <alignment vertical="center"/>
    </xf>
    <xf numFmtId="0" fontId="5" fillId="2" borderId="0" xfId="0" applyFont="1" applyFill="1" applyBorder="1"/>
    <xf numFmtId="3" fontId="14" fillId="0" borderId="4" xfId="0" applyNumberFormat="1" applyFont="1" applyFill="1" applyBorder="1" applyAlignment="1">
      <alignment vertical="center"/>
    </xf>
    <xf numFmtId="0" fontId="14" fillId="0" borderId="0" xfId="0" applyFont="1" applyFill="1" applyBorder="1"/>
    <xf numFmtId="3" fontId="9" fillId="0" borderId="0" xfId="5" applyNumberFormat="1" applyFont="1" applyFill="1" applyBorder="1" applyAlignment="1">
      <alignment horizontal="center" vertical="center" wrapText="1"/>
    </xf>
    <xf numFmtId="170" fontId="5" fillId="0" borderId="0" xfId="6" applyNumberFormat="1" applyFont="1" applyFill="1" applyBorder="1" applyAlignment="1"/>
    <xf numFmtId="170" fontId="9" fillId="0" borderId="0" xfId="0" applyNumberFormat="1" applyFont="1" applyFill="1"/>
    <xf numFmtId="3" fontId="5" fillId="0" borderId="0" xfId="0" applyNumberFormat="1" applyFont="1" applyFill="1" applyBorder="1"/>
    <xf numFmtId="164" fontId="9" fillId="0" borderId="0" xfId="0" applyNumberFormat="1" applyFont="1" applyFill="1"/>
    <xf numFmtId="164" fontId="9" fillId="0" borderId="4" xfId="0" applyNumberFormat="1" applyFont="1" applyFill="1" applyBorder="1" applyAlignment="1">
      <alignment horizontal="right" vertical="center"/>
    </xf>
    <xf numFmtId="164" fontId="9" fillId="0" borderId="0" xfId="0" applyNumberFormat="1" applyFont="1" applyFill="1" applyBorder="1" applyAlignment="1">
      <alignment horizontal="right" vertical="center"/>
    </xf>
    <xf numFmtId="3" fontId="9" fillId="0" borderId="1" xfId="5" applyNumberFormat="1" applyFont="1" applyFill="1" applyBorder="1" applyAlignment="1">
      <alignment horizontal="center" wrapText="1"/>
    </xf>
    <xf numFmtId="3" fontId="9" fillId="0" borderId="4" xfId="5" applyNumberFormat="1" applyFont="1" applyFill="1" applyBorder="1" applyAlignment="1">
      <alignment horizontal="left" vertical="center"/>
    </xf>
    <xf numFmtId="164" fontId="9" fillId="0" borderId="0" xfId="0" applyNumberFormat="1" applyFont="1" applyFill="1" applyBorder="1" applyAlignment="1">
      <alignment vertical="center"/>
    </xf>
    <xf numFmtId="3" fontId="5" fillId="0" borderId="0" xfId="0" applyNumberFormat="1" applyFont="1" applyFill="1" applyBorder="1" applyAlignment="1">
      <alignment vertical="center"/>
    </xf>
    <xf numFmtId="3" fontId="9" fillId="0" borderId="1" xfId="5" applyNumberFormat="1" applyFont="1" applyFill="1" applyBorder="1" applyAlignment="1">
      <alignment horizontal="center" vertical="center" wrapText="1"/>
    </xf>
    <xf numFmtId="3" fontId="5" fillId="0" borderId="0" xfId="0" applyNumberFormat="1" applyFont="1" applyFill="1"/>
    <xf numFmtId="3" fontId="14" fillId="0" borderId="4" xfId="0" applyNumberFormat="1" applyFont="1" applyFill="1" applyBorder="1" applyAlignment="1">
      <alignment horizontal="left" vertical="center"/>
    </xf>
    <xf numFmtId="0" fontId="2" fillId="0" borderId="0" xfId="0" applyFont="1" applyFill="1"/>
    <xf numFmtId="0" fontId="14" fillId="0" borderId="1" xfId="0" applyFont="1" applyFill="1" applyBorder="1"/>
    <xf numFmtId="0" fontId="9" fillId="0" borderId="1" xfId="5" applyFont="1" applyFill="1" applyBorder="1" applyAlignment="1">
      <alignment horizontal="right" wrapText="1"/>
    </xf>
    <xf numFmtId="0" fontId="14" fillId="0" borderId="3" xfId="5" applyFont="1" applyFill="1" applyBorder="1" applyAlignment="1">
      <alignment horizontal="left"/>
    </xf>
    <xf numFmtId="0" fontId="9" fillId="0" borderId="2" xfId="5" applyNumberFormat="1" applyFont="1" applyFill="1" applyBorder="1" applyAlignment="1">
      <alignment horizontal="left" vertical="center"/>
    </xf>
    <xf numFmtId="0" fontId="9" fillId="0" borderId="0" xfId="5" applyFont="1" applyFill="1" applyBorder="1" applyAlignment="1">
      <alignment horizontal="left" vertical="center"/>
    </xf>
    <xf numFmtId="0" fontId="14" fillId="0" borderId="0" xfId="0" applyFont="1" applyFill="1" applyBorder="1" applyAlignment="1">
      <alignment vertical="top" wrapText="1"/>
    </xf>
    <xf numFmtId="0" fontId="14" fillId="0" borderId="1" xfId="0" applyFont="1" applyFill="1" applyBorder="1" applyAlignment="1"/>
    <xf numFmtId="0" fontId="9" fillId="0" borderId="1" xfId="5" applyFont="1" applyFill="1" applyBorder="1" applyAlignment="1">
      <alignment horizontal="right" vertical="center" wrapText="1"/>
    </xf>
    <xf numFmtId="0" fontId="9" fillId="0" borderId="0" xfId="0" applyFont="1" applyFill="1" applyAlignment="1">
      <alignment horizontal="right" vertical="center"/>
    </xf>
    <xf numFmtId="0" fontId="5" fillId="0" borderId="3" xfId="0" applyFont="1" applyFill="1" applyBorder="1" applyAlignment="1">
      <alignment vertical="center"/>
    </xf>
    <xf numFmtId="0" fontId="9" fillId="0" borderId="1" xfId="0" applyFont="1" applyFill="1" applyBorder="1" applyAlignment="1">
      <alignment horizontal="right" vertical="center"/>
    </xf>
    <xf numFmtId="1" fontId="9" fillId="0" borderId="0" xfId="5" applyNumberFormat="1" applyFont="1" applyFill="1" applyBorder="1" applyAlignment="1">
      <alignment horizontal="right" vertical="center" wrapText="1"/>
    </xf>
    <xf numFmtId="164" fontId="9" fillId="0" borderId="0" xfId="0" applyNumberFormat="1" applyFont="1" applyFill="1" applyBorder="1"/>
    <xf numFmtId="0" fontId="5" fillId="0" borderId="0" xfId="5" applyFont="1" applyFill="1" applyBorder="1" applyAlignment="1">
      <alignment horizontal="left"/>
    </xf>
    <xf numFmtId="3" fontId="9" fillId="0" borderId="3" xfId="0" applyNumberFormat="1" applyFont="1" applyFill="1" applyBorder="1" applyAlignment="1"/>
    <xf numFmtId="0" fontId="5" fillId="0" borderId="0" xfId="0" applyFont="1" applyFill="1" applyAlignment="1"/>
    <xf numFmtId="3" fontId="5" fillId="0" borderId="1" xfId="5" applyNumberFormat="1" applyFont="1" applyFill="1" applyBorder="1" applyAlignment="1">
      <alignment horizontal="right" wrapText="1"/>
    </xf>
    <xf numFmtId="164" fontId="5" fillId="0" borderId="1" xfId="6" applyNumberFormat="1" applyFont="1" applyFill="1" applyBorder="1" applyAlignment="1"/>
    <xf numFmtId="164" fontId="5" fillId="0" borderId="0" xfId="5" applyNumberFormat="1" applyFont="1" applyFill="1" applyBorder="1" applyAlignment="1">
      <alignment horizontal="right" wrapText="1"/>
    </xf>
    <xf numFmtId="164" fontId="9" fillId="0" borderId="0" xfId="6" applyNumberFormat="1" applyFont="1" applyFill="1" applyBorder="1" applyAlignment="1"/>
    <xf numFmtId="0" fontId="5" fillId="0" borderId="0" xfId="0" applyFont="1" applyFill="1" applyBorder="1" applyAlignment="1">
      <alignment vertical="top" wrapText="1"/>
    </xf>
    <xf numFmtId="3" fontId="8" fillId="0" borderId="0" xfId="0" applyNumberFormat="1" applyFont="1" applyFill="1" applyBorder="1" applyAlignment="1"/>
    <xf numFmtId="164" fontId="5" fillId="0" borderId="0" xfId="0" applyNumberFormat="1" applyFont="1" applyFill="1" applyBorder="1"/>
    <xf numFmtId="172" fontId="5" fillId="0" borderId="0" xfId="0" applyNumberFormat="1" applyFont="1" applyFill="1" applyBorder="1"/>
    <xf numFmtId="164" fontId="9" fillId="0" borderId="4" xfId="0" applyNumberFormat="1" applyFont="1" applyFill="1" applyBorder="1" applyAlignment="1">
      <alignment vertical="center"/>
    </xf>
    <xf numFmtId="171" fontId="9" fillId="0" borderId="4" xfId="0" applyNumberFormat="1" applyFont="1" applyFill="1" applyBorder="1" applyAlignment="1">
      <alignment vertical="center"/>
    </xf>
    <xf numFmtId="0" fontId="9" fillId="0" borderId="1" xfId="0" applyFont="1" applyFill="1" applyBorder="1" applyAlignment="1">
      <alignment horizontal="right"/>
    </xf>
    <xf numFmtId="0" fontId="9" fillId="0" borderId="0" xfId="0" applyFont="1" applyFill="1" applyBorder="1" applyAlignment="1">
      <alignment horizontal="right"/>
    </xf>
    <xf numFmtId="1" fontId="16" fillId="0" borderId="0" xfId="0" applyNumberFormat="1" applyFont="1" applyFill="1" applyBorder="1" applyAlignment="1">
      <alignment vertical="center"/>
    </xf>
    <xf numFmtId="0" fontId="10" fillId="0" borderId="0" xfId="0" applyFont="1" applyFill="1" applyBorder="1"/>
    <xf numFmtId="0" fontId="9" fillId="0" borderId="1" xfId="0" applyFont="1" applyFill="1" applyBorder="1" applyAlignment="1">
      <alignment wrapText="1"/>
    </xf>
    <xf numFmtId="3" fontId="5" fillId="0" borderId="0" xfId="7" applyNumberFormat="1" applyFont="1" applyFill="1" applyBorder="1" applyAlignment="1">
      <alignment horizontal="right"/>
    </xf>
    <xf numFmtId="3" fontId="5" fillId="0" borderId="0" xfId="0" applyNumberFormat="1" applyFont="1" applyFill="1" applyBorder="1" applyAlignment="1">
      <alignment horizontal="right"/>
    </xf>
    <xf numFmtId="3" fontId="9" fillId="0" borderId="1" xfId="0" applyNumberFormat="1" applyFont="1" applyFill="1" applyBorder="1" applyAlignment="1">
      <alignment horizontal="right"/>
    </xf>
    <xf numFmtId="9" fontId="9" fillId="0" borderId="0" xfId="2" applyFont="1" applyFill="1" applyBorder="1"/>
    <xf numFmtId="9" fontId="10" fillId="0" borderId="0" xfId="2" applyFont="1" applyFill="1" applyBorder="1" applyAlignment="1">
      <alignment horizontal="right"/>
    </xf>
    <xf numFmtId="168" fontId="11" fillId="0" borderId="0" xfId="2" applyNumberFormat="1" applyFont="1" applyFill="1" applyBorder="1" applyAlignment="1">
      <alignment horizontal="right"/>
    </xf>
    <xf numFmtId="0" fontId="9" fillId="0" borderId="0" xfId="2" applyNumberFormat="1" applyFont="1" applyFill="1" applyBorder="1" applyAlignment="1">
      <alignment horizontal="left"/>
    </xf>
    <xf numFmtId="0" fontId="9" fillId="0" borderId="1" xfId="2" applyNumberFormat="1" applyFont="1" applyFill="1" applyBorder="1" applyAlignment="1">
      <alignment horizontal="left"/>
    </xf>
    <xf numFmtId="168" fontId="11" fillId="0" borderId="1" xfId="2" applyNumberFormat="1" applyFont="1" applyFill="1" applyBorder="1" applyAlignment="1">
      <alignment horizontal="right"/>
    </xf>
    <xf numFmtId="3" fontId="5" fillId="0" borderId="2" xfId="0" applyNumberFormat="1" applyFont="1" applyFill="1" applyBorder="1"/>
    <xf numFmtId="0" fontId="8" fillId="2" borderId="1" xfId="8" applyFont="1" applyFill="1" applyBorder="1" applyAlignment="1">
      <alignment horizontal="left" vertical="top" wrapText="1"/>
    </xf>
    <xf numFmtId="0" fontId="10" fillId="2" borderId="1" xfId="8" applyFont="1" applyFill="1" applyBorder="1" applyAlignment="1">
      <alignment horizontal="right" wrapText="1"/>
    </xf>
    <xf numFmtId="0" fontId="9" fillId="2" borderId="0" xfId="0" applyFont="1" applyFill="1" applyAlignment="1">
      <alignment horizontal="right"/>
    </xf>
    <xf numFmtId="0" fontId="14" fillId="2" borderId="1" xfId="7" applyFont="1" applyFill="1" applyBorder="1" applyAlignment="1"/>
    <xf numFmtId="3" fontId="9" fillId="2" borderId="1" xfId="0" applyNumberFormat="1" applyFont="1" applyFill="1" applyBorder="1" applyAlignment="1">
      <alignment horizontal="right"/>
    </xf>
    <xf numFmtId="0" fontId="9" fillId="2" borderId="1" xfId="0" applyFont="1" applyFill="1" applyBorder="1" applyAlignment="1">
      <alignment horizontal="right"/>
    </xf>
    <xf numFmtId="0" fontId="5" fillId="2" borderId="1" xfId="0" applyFont="1" applyFill="1" applyBorder="1"/>
    <xf numFmtId="0" fontId="9" fillId="2" borderId="0" xfId="7" applyFont="1" applyFill="1" applyBorder="1" applyAlignment="1">
      <alignment horizontal="left" indent="1"/>
    </xf>
    <xf numFmtId="0" fontId="5" fillId="2" borderId="0" xfId="7" applyFont="1" applyFill="1" applyBorder="1" applyAlignment="1"/>
    <xf numFmtId="164" fontId="5" fillId="2" borderId="0" xfId="9" applyNumberFormat="1" applyFont="1" applyFill="1" applyBorder="1" applyAlignment="1">
      <alignment horizontal="right" wrapText="1"/>
    </xf>
    <xf numFmtId="168" fontId="11" fillId="2" borderId="0" xfId="2" quotePrefix="1" applyNumberFormat="1" applyFont="1" applyFill="1" applyBorder="1" applyAlignment="1">
      <alignment horizontal="right"/>
    </xf>
    <xf numFmtId="164" fontId="5" fillId="2" borderId="0" xfId="9" quotePrefix="1" applyNumberFormat="1" applyFont="1" applyFill="1" applyBorder="1" applyAlignment="1">
      <alignment horizontal="right" wrapText="1"/>
    </xf>
    <xf numFmtId="0" fontId="5" fillId="2" borderId="0" xfId="9" applyFont="1" applyFill="1" applyBorder="1" applyAlignment="1">
      <alignment horizontal="right" wrapText="1"/>
    </xf>
    <xf numFmtId="3" fontId="9" fillId="2" borderId="0" xfId="0" applyNumberFormat="1" applyFont="1" applyFill="1" applyBorder="1" applyAlignment="1">
      <alignment horizontal="right"/>
    </xf>
    <xf numFmtId="0" fontId="9" fillId="2" borderId="0" xfId="7" applyFont="1" applyFill="1" applyBorder="1" applyAlignment="1">
      <alignment horizontal="left"/>
    </xf>
    <xf numFmtId="0" fontId="9" fillId="2" borderId="4" xfId="7" applyFont="1" applyFill="1" applyBorder="1" applyAlignment="1">
      <alignment vertical="center" wrapText="1"/>
    </xf>
    <xf numFmtId="3" fontId="9" fillId="2" borderId="4" xfId="7" applyNumberFormat="1" applyFont="1" applyFill="1" applyBorder="1" applyAlignment="1">
      <alignment horizontal="right" vertical="center"/>
    </xf>
    <xf numFmtId="168" fontId="10" fillId="2" borderId="4" xfId="2" quotePrefix="1" applyNumberFormat="1" applyFont="1" applyFill="1" applyBorder="1" applyAlignment="1">
      <alignment horizontal="right" vertical="center"/>
    </xf>
    <xf numFmtId="3" fontId="5" fillId="2" borderId="0" xfId="7" applyNumberFormat="1" applyFont="1" applyFill="1" applyBorder="1" applyAlignment="1">
      <alignment horizontal="right"/>
    </xf>
    <xf numFmtId="3" fontId="5" fillId="2" borderId="0" xfId="0" applyNumberFormat="1" applyFont="1" applyFill="1" applyBorder="1" applyAlignment="1">
      <alignment horizontal="right"/>
    </xf>
    <xf numFmtId="1" fontId="11" fillId="2" borderId="0" xfId="7" quotePrefix="1" applyNumberFormat="1" applyFont="1" applyFill="1" applyBorder="1" applyAlignment="1">
      <alignment horizontal="right"/>
    </xf>
    <xf numFmtId="3" fontId="9" fillId="2" borderId="1" xfId="7" applyNumberFormat="1" applyFont="1" applyFill="1" applyBorder="1" applyAlignment="1">
      <alignment horizontal="right"/>
    </xf>
    <xf numFmtId="0" fontId="9" fillId="2" borderId="0" xfId="7" applyFont="1" applyFill="1" applyBorder="1" applyAlignment="1"/>
    <xf numFmtId="1" fontId="10" fillId="2" borderId="1" xfId="7" quotePrefix="1" applyNumberFormat="1" applyFont="1" applyFill="1" applyBorder="1" applyAlignment="1">
      <alignment horizontal="right"/>
    </xf>
    <xf numFmtId="0" fontId="10" fillId="2" borderId="1" xfId="0" applyFont="1" applyFill="1" applyBorder="1" applyAlignment="1">
      <alignment horizontal="right"/>
    </xf>
    <xf numFmtId="0" fontId="5" fillId="2" borderId="0" xfId="0" applyNumberFormat="1" applyFont="1" applyFill="1"/>
    <xf numFmtId="0" fontId="9" fillId="2" borderId="4" xfId="7" applyFont="1" applyFill="1" applyBorder="1" applyAlignment="1">
      <alignment vertical="center"/>
    </xf>
    <xf numFmtId="0" fontId="14" fillId="2" borderId="1" xfId="0" applyFont="1" applyFill="1" applyBorder="1" applyAlignment="1"/>
    <xf numFmtId="0" fontId="9" fillId="2" borderId="0" xfId="0" applyFont="1" applyFill="1" applyBorder="1" applyAlignment="1"/>
    <xf numFmtId="0" fontId="5" fillId="2" borderId="0" xfId="0" applyFont="1" applyFill="1" applyBorder="1" applyAlignment="1"/>
    <xf numFmtId="3" fontId="9" fillId="2" borderId="0" xfId="7" applyNumberFormat="1" applyFont="1" applyFill="1" applyBorder="1" applyAlignment="1">
      <alignment horizontal="right"/>
    </xf>
    <xf numFmtId="3" fontId="9" fillId="2" borderId="0" xfId="0" quotePrefix="1" applyNumberFormat="1" applyFont="1" applyFill="1" applyBorder="1" applyAlignment="1">
      <alignment horizontal="right"/>
    </xf>
    <xf numFmtId="0" fontId="9" fillId="2" borderId="0" xfId="7" applyFont="1" applyFill="1" applyBorder="1" applyAlignment="1">
      <alignment vertical="center"/>
    </xf>
    <xf numFmtId="3" fontId="9" fillId="2" borderId="0" xfId="7" applyNumberFormat="1" applyFont="1" applyFill="1" applyBorder="1" applyAlignment="1">
      <alignment horizontal="right" vertical="center"/>
    </xf>
    <xf numFmtId="3" fontId="9" fillId="2" borderId="0" xfId="0" applyNumberFormat="1" applyFont="1" applyFill="1" applyBorder="1" applyAlignment="1">
      <alignment horizontal="right" vertical="center"/>
    </xf>
    <xf numFmtId="9" fontId="10" fillId="2" borderId="0" xfId="2" quotePrefix="1" applyFont="1" applyFill="1" applyBorder="1" applyAlignment="1">
      <alignment horizontal="right" vertical="center"/>
    </xf>
    <xf numFmtId="0" fontId="14" fillId="2" borderId="4" xfId="0" applyFont="1" applyFill="1" applyBorder="1" applyAlignment="1">
      <alignment vertical="center"/>
    </xf>
    <xf numFmtId="3" fontId="9" fillId="2" borderId="4" xfId="0" applyNumberFormat="1" applyFont="1" applyFill="1" applyBorder="1" applyAlignment="1">
      <alignment vertical="center"/>
    </xf>
    <xf numFmtId="0" fontId="14" fillId="2" borderId="0" xfId="0" applyFont="1" applyFill="1" applyBorder="1" applyAlignment="1"/>
    <xf numFmtId="3" fontId="9" fillId="2" borderId="0" xfId="0" applyNumberFormat="1" applyFont="1" applyFill="1" applyBorder="1" applyAlignment="1">
      <alignment vertical="center"/>
    </xf>
    <xf numFmtId="0" fontId="14" fillId="2" borderId="4" xfId="0" applyFont="1" applyFill="1" applyBorder="1" applyAlignment="1">
      <alignment vertical="center" wrapText="1"/>
    </xf>
    <xf numFmtId="0" fontId="5" fillId="2" borderId="0" xfId="0" applyFont="1" applyFill="1" applyAlignment="1"/>
    <xf numFmtId="0" fontId="5" fillId="2" borderId="0" xfId="0" applyFont="1" applyFill="1" applyAlignment="1">
      <alignment horizontal="right"/>
    </xf>
    <xf numFmtId="172" fontId="5" fillId="2" borderId="0" xfId="0" applyNumberFormat="1" applyFont="1" applyFill="1" applyAlignment="1"/>
    <xf numFmtId="0" fontId="9" fillId="2" borderId="0" xfId="0" applyFont="1" applyFill="1" applyBorder="1"/>
    <xf numFmtId="0" fontId="10" fillId="2" borderId="0" xfId="0" applyFont="1" applyFill="1" applyBorder="1" applyAlignment="1">
      <alignment horizontal="right"/>
    </xf>
    <xf numFmtId="0" fontId="9" fillId="2" borderId="5" xfId="0" applyFont="1" applyFill="1" applyBorder="1" applyAlignment="1">
      <alignment vertical="center"/>
    </xf>
    <xf numFmtId="0" fontId="9" fillId="2" borderId="5" xfId="10" applyFont="1" applyFill="1" applyBorder="1" applyAlignment="1">
      <alignment horizontal="right" vertical="center" wrapText="1"/>
    </xf>
    <xf numFmtId="0" fontId="5" fillId="2" borderId="0" xfId="0" applyFont="1" applyFill="1" applyBorder="1" applyAlignment="1">
      <alignment vertical="center"/>
    </xf>
    <xf numFmtId="166" fontId="5" fillId="2" borderId="0" xfId="1" applyNumberFormat="1" applyFont="1" applyFill="1" applyAlignment="1"/>
    <xf numFmtId="166" fontId="5" fillId="2" borderId="0" xfId="1" applyNumberFormat="1" applyFont="1" applyFill="1" applyBorder="1" applyAlignment="1"/>
    <xf numFmtId="166" fontId="9" fillId="2" borderId="0" xfId="1" applyNumberFormat="1" applyFont="1" applyFill="1" applyBorder="1" applyAlignment="1"/>
    <xf numFmtId="168" fontId="11" fillId="2" borderId="0" xfId="2" quotePrefix="1" applyNumberFormat="1" applyFont="1" applyFill="1" applyBorder="1" applyAlignment="1"/>
    <xf numFmtId="0" fontId="9" fillId="2" borderId="4" xfId="0" applyFont="1" applyFill="1" applyBorder="1" applyAlignment="1">
      <alignment horizontal="left" vertical="center"/>
    </xf>
    <xf numFmtId="166" fontId="9" fillId="2" borderId="4" xfId="1" applyNumberFormat="1" applyFont="1" applyFill="1" applyBorder="1" applyAlignment="1">
      <alignment horizontal="right" vertical="center"/>
    </xf>
    <xf numFmtId="168" fontId="11" fillId="2" borderId="4" xfId="2" quotePrefix="1" applyNumberFormat="1" applyFont="1" applyFill="1" applyBorder="1" applyAlignment="1">
      <alignment horizontal="right" vertical="center"/>
    </xf>
    <xf numFmtId="0" fontId="5" fillId="2" borderId="0" xfId="0" applyFont="1" applyFill="1" applyAlignment="1">
      <alignment vertical="center"/>
    </xf>
    <xf numFmtId="0" fontId="9" fillId="0" borderId="1" xfId="7" applyFont="1" applyFill="1" applyBorder="1" applyAlignment="1">
      <alignment horizontal="right" wrapText="1"/>
    </xf>
    <xf numFmtId="0" fontId="9" fillId="0" borderId="0" xfId="7" applyFont="1" applyFill="1" applyBorder="1" applyAlignment="1">
      <alignment horizontal="left"/>
    </xf>
    <xf numFmtId="166" fontId="9" fillId="0" borderId="0" xfId="1" applyNumberFormat="1" applyFont="1" applyFill="1" applyBorder="1" applyAlignment="1">
      <alignment horizontal="right"/>
    </xf>
    <xf numFmtId="0" fontId="9" fillId="0" borderId="0" xfId="7" applyFont="1" applyFill="1" applyBorder="1" applyAlignment="1">
      <alignment horizontal="left" wrapText="1"/>
    </xf>
    <xf numFmtId="0" fontId="9" fillId="0" borderId="4" xfId="0" applyFont="1" applyFill="1" applyBorder="1" applyAlignment="1">
      <alignment horizontal="left" vertical="center"/>
    </xf>
    <xf numFmtId="3" fontId="9" fillId="0" borderId="4" xfId="0" applyNumberFormat="1" applyFont="1" applyFill="1" applyBorder="1" applyAlignment="1">
      <alignment vertical="center"/>
    </xf>
    <xf numFmtId="0" fontId="5" fillId="0" borderId="0" xfId="0" applyFont="1" applyFill="1" applyAlignment="1">
      <alignment vertical="center" wrapText="1"/>
    </xf>
    <xf numFmtId="9" fontId="9" fillId="0" borderId="1" xfId="2" applyFont="1" applyFill="1" applyBorder="1" applyAlignment="1">
      <alignment horizontal="right" wrapText="1"/>
    </xf>
    <xf numFmtId="9" fontId="9" fillId="0" borderId="0" xfId="2" applyFont="1" applyFill="1" applyBorder="1" applyAlignment="1">
      <alignment horizontal="left"/>
    </xf>
    <xf numFmtId="168" fontId="5" fillId="0" borderId="0" xfId="2" applyNumberFormat="1" applyFont="1" applyFill="1" applyBorder="1" applyAlignment="1"/>
    <xf numFmtId="168" fontId="9" fillId="0" borderId="0" xfId="2" applyNumberFormat="1" applyFont="1" applyFill="1" applyBorder="1" applyAlignment="1"/>
    <xf numFmtId="9" fontId="9" fillId="0" borderId="0" xfId="2" applyFont="1" applyFill="1" applyBorder="1" applyAlignment="1">
      <alignment horizontal="left" wrapText="1"/>
    </xf>
    <xf numFmtId="9" fontId="9" fillId="0" borderId="4" xfId="2" applyFont="1" applyFill="1" applyBorder="1" applyAlignment="1">
      <alignment horizontal="left" vertical="center"/>
    </xf>
    <xf numFmtId="9" fontId="9" fillId="0" borderId="4" xfId="2" applyFont="1" applyFill="1" applyBorder="1" applyAlignment="1">
      <alignment vertical="center"/>
    </xf>
    <xf numFmtId="9" fontId="11" fillId="0" borderId="0" xfId="2" applyFont="1" applyFill="1" applyBorder="1" applyAlignment="1"/>
    <xf numFmtId="9" fontId="10" fillId="0" borderId="0" xfId="2" applyFont="1" applyFill="1" applyBorder="1" applyAlignment="1"/>
    <xf numFmtId="0" fontId="8" fillId="2" borderId="1" xfId="0" applyFont="1" applyFill="1" applyBorder="1" applyAlignment="1">
      <alignment horizontal="left" vertical="top" wrapText="1"/>
    </xf>
    <xf numFmtId="0" fontId="9" fillId="2" borderId="1" xfId="0" applyFont="1" applyFill="1" applyBorder="1" applyAlignment="1">
      <alignment horizontal="right" wrapText="1"/>
    </xf>
    <xf numFmtId="0" fontId="18" fillId="2" borderId="0" xfId="3" applyFont="1" applyFill="1" applyAlignment="1" applyProtection="1">
      <alignment vertical="top"/>
    </xf>
    <xf numFmtId="9" fontId="10" fillId="2" borderId="0" xfId="2" quotePrefix="1" applyFont="1" applyFill="1" applyBorder="1" applyAlignment="1">
      <alignment horizontal="right"/>
    </xf>
    <xf numFmtId="1" fontId="5" fillId="2" borderId="0" xfId="7" applyNumberFormat="1" applyFont="1" applyFill="1" applyBorder="1" applyAlignment="1">
      <alignment horizontal="right"/>
    </xf>
    <xf numFmtId="1" fontId="5" fillId="2" borderId="0" xfId="0" applyNumberFormat="1" applyFont="1" applyFill="1" applyBorder="1" applyAlignment="1">
      <alignment horizontal="right"/>
    </xf>
    <xf numFmtId="1" fontId="9" fillId="2" borderId="0" xfId="0" applyNumberFormat="1" applyFont="1" applyFill="1" applyBorder="1" applyAlignment="1">
      <alignment horizontal="right"/>
    </xf>
    <xf numFmtId="1" fontId="9" fillId="2" borderId="4" xfId="0" applyNumberFormat="1" applyFont="1" applyFill="1" applyBorder="1" applyAlignment="1">
      <alignment horizontal="right" vertical="center"/>
    </xf>
    <xf numFmtId="1" fontId="9" fillId="2" borderId="0" xfId="7" applyNumberFormat="1" applyFont="1" applyFill="1" applyBorder="1" applyAlignment="1">
      <alignment horizontal="right"/>
    </xf>
    <xf numFmtId="0" fontId="9" fillId="2" borderId="0" xfId="0" applyFont="1" applyFill="1" applyBorder="1" applyAlignment="1">
      <alignment wrapText="1"/>
    </xf>
    <xf numFmtId="0" fontId="9" fillId="2" borderId="1" xfId="0" applyFont="1" applyFill="1" applyBorder="1" applyAlignment="1">
      <alignment wrapText="1"/>
    </xf>
    <xf numFmtId="0" fontId="9" fillId="2" borderId="5" xfId="0" applyFont="1" applyFill="1" applyBorder="1" applyAlignment="1">
      <alignment horizontal="right" wrapText="1"/>
    </xf>
    <xf numFmtId="0" fontId="9" fillId="2" borderId="0" xfId="0" applyFont="1" applyFill="1" applyBorder="1" applyAlignment="1">
      <alignment horizontal="right" wrapText="1"/>
    </xf>
    <xf numFmtId="0" fontId="9" fillId="2" borderId="0" xfId="0" applyFont="1" applyFill="1" applyBorder="1" applyAlignment="1">
      <alignment horizontal="left"/>
    </xf>
    <xf numFmtId="172" fontId="11" fillId="2" borderId="0" xfId="0" applyNumberFormat="1" applyFont="1" applyFill="1" applyBorder="1"/>
    <xf numFmtId="172" fontId="11" fillId="2" borderId="0" xfId="0" applyNumberFormat="1" applyFont="1" applyFill="1" applyBorder="1" applyAlignment="1">
      <alignment horizontal="right"/>
    </xf>
    <xf numFmtId="1" fontId="11" fillId="2" borderId="0" xfId="0" applyNumberFormat="1" applyFont="1" applyFill="1" applyBorder="1" applyAlignment="1">
      <alignment horizontal="right"/>
    </xf>
    <xf numFmtId="172" fontId="10" fillId="2" borderId="0" xfId="0" applyNumberFormat="1" applyFont="1" applyFill="1" applyBorder="1" applyAlignment="1">
      <alignment horizontal="right"/>
    </xf>
    <xf numFmtId="172" fontId="10" fillId="2" borderId="0" xfId="0" applyNumberFormat="1" applyFont="1" applyFill="1" applyBorder="1"/>
    <xf numFmtId="172" fontId="11" fillId="2" borderId="0" xfId="0" applyNumberFormat="1" applyFont="1" applyFill="1" applyBorder="1" applyAlignment="1"/>
    <xf numFmtId="172" fontId="10" fillId="2" borderId="0" xfId="0" applyNumberFormat="1" applyFont="1" applyFill="1" applyBorder="1" applyAlignment="1"/>
    <xf numFmtId="0" fontId="5" fillId="2" borderId="2" xfId="0" applyFont="1" applyFill="1" applyBorder="1"/>
    <xf numFmtId="0" fontId="5" fillId="2" borderId="0" xfId="4" applyFont="1" applyFill="1" applyBorder="1"/>
    <xf numFmtId="0" fontId="8" fillId="2" borderId="1" xfId="0" applyFont="1" applyFill="1" applyBorder="1" applyAlignment="1">
      <alignment horizontal="left" vertical="center" wrapText="1"/>
    </xf>
    <xf numFmtId="0" fontId="10" fillId="2" borderId="1" xfId="0" applyFont="1" applyFill="1" applyBorder="1" applyAlignment="1">
      <alignment horizontal="right" vertical="center" wrapText="1"/>
    </xf>
    <xf numFmtId="0" fontId="9" fillId="2" borderId="1" xfId="0" applyFont="1" applyFill="1" applyBorder="1"/>
    <xf numFmtId="0" fontId="9" fillId="2" borderId="0" xfId="7" applyFont="1" applyFill="1" applyBorder="1" applyAlignment="1">
      <alignment horizontal="right" wrapText="1"/>
    </xf>
    <xf numFmtId="0" fontId="9" fillId="2" borderId="3" xfId="0" applyFont="1" applyFill="1" applyBorder="1" applyAlignment="1">
      <alignment horizontal="left"/>
    </xf>
    <xf numFmtId="172" fontId="11" fillId="2" borderId="3" xfId="0" applyNumberFormat="1" applyFont="1" applyFill="1" applyBorder="1" applyAlignment="1">
      <alignment horizontal="right"/>
    </xf>
    <xf numFmtId="172" fontId="10" fillId="2" borderId="3" xfId="0" applyNumberFormat="1" applyFont="1" applyFill="1" applyBorder="1" applyAlignment="1">
      <alignment horizontal="right"/>
    </xf>
    <xf numFmtId="0" fontId="9" fillId="2" borderId="0" xfId="0" applyFont="1" applyFill="1" applyBorder="1" applyAlignment="1">
      <alignment horizontal="left" vertical="center"/>
    </xf>
    <xf numFmtId="172" fontId="5" fillId="2" borderId="0" xfId="0" applyNumberFormat="1" applyFont="1" applyFill="1" applyBorder="1" applyAlignment="1">
      <alignment vertical="center"/>
    </xf>
    <xf numFmtId="0" fontId="6" fillId="2" borderId="0" xfId="0" applyFont="1" applyFill="1"/>
    <xf numFmtId="14" fontId="9" fillId="2" borderId="1" xfId="0" applyNumberFormat="1" applyFont="1" applyFill="1" applyBorder="1" applyAlignment="1" applyProtection="1">
      <alignment horizontal="right"/>
      <protection locked="0"/>
    </xf>
    <xf numFmtId="0" fontId="5" fillId="2" borderId="0" xfId="0" applyFont="1" applyFill="1" applyBorder="1" applyAlignment="1">
      <alignment horizontal="right"/>
    </xf>
    <xf numFmtId="0" fontId="5" fillId="2" borderId="0" xfId="0" quotePrefix="1" applyFont="1" applyFill="1" applyBorder="1" applyAlignment="1">
      <alignment horizontal="right"/>
    </xf>
    <xf numFmtId="0" fontId="5" fillId="2" borderId="3" xfId="0" applyFont="1" applyFill="1" applyBorder="1" applyAlignment="1">
      <alignment horizontal="right"/>
    </xf>
    <xf numFmtId="1" fontId="11" fillId="2" borderId="3" xfId="0" applyNumberFormat="1" applyFont="1" applyFill="1" applyBorder="1" applyAlignment="1">
      <alignment horizontal="right"/>
    </xf>
    <xf numFmtId="0" fontId="5" fillId="0" borderId="0" xfId="0" applyFont="1" applyFill="1" applyProtection="1">
      <protection locked="0"/>
    </xf>
    <xf numFmtId="0" fontId="5" fillId="0" borderId="1" xfId="0" applyFont="1" applyFill="1" applyBorder="1" applyProtection="1">
      <protection locked="0"/>
    </xf>
    <xf numFmtId="0" fontId="5" fillId="0" borderId="0" xfId="0" applyFont="1" applyFill="1" applyBorder="1" applyProtection="1">
      <protection locked="0"/>
    </xf>
    <xf numFmtId="164" fontId="9" fillId="0" borderId="2" xfId="0" applyNumberFormat="1" applyFont="1" applyFill="1" applyBorder="1"/>
    <xf numFmtId="0" fontId="9" fillId="0" borderId="0" xfId="0" applyFont="1" applyFill="1" applyBorder="1" applyProtection="1">
      <protection locked="0"/>
    </xf>
    <xf numFmtId="0" fontId="9" fillId="0" borderId="0" xfId="0" applyNumberFormat="1" applyFont="1" applyFill="1" applyBorder="1" applyAlignment="1" applyProtection="1">
      <alignment horizontal="right"/>
      <protection locked="0"/>
    </xf>
    <xf numFmtId="0" fontId="9" fillId="2" borderId="0" xfId="0" applyFont="1" applyFill="1" applyBorder="1" applyAlignment="1">
      <alignment horizontal="left" vertical="center" wrapText="1"/>
    </xf>
    <xf numFmtId="0" fontId="10" fillId="2" borderId="1" xfId="0" applyFont="1" applyFill="1" applyBorder="1" applyAlignment="1"/>
    <xf numFmtId="0" fontId="14" fillId="2" borderId="1" xfId="0" applyFont="1" applyFill="1" applyBorder="1" applyAlignment="1">
      <alignment vertical="center"/>
    </xf>
    <xf numFmtId="0" fontId="19" fillId="2" borderId="1" xfId="0" applyFont="1" applyFill="1" applyBorder="1"/>
    <xf numFmtId="0" fontId="19" fillId="2" borderId="1" xfId="0" applyFont="1" applyFill="1" applyBorder="1" applyAlignment="1">
      <alignment horizontal="right" wrapText="1"/>
    </xf>
    <xf numFmtId="3" fontId="5" fillId="2" borderId="0" xfId="0" applyNumberFormat="1" applyFont="1" applyFill="1" applyBorder="1" applyAlignment="1"/>
    <xf numFmtId="3" fontId="5" fillId="2" borderId="0" xfId="0" applyNumberFormat="1" applyFont="1" applyFill="1" applyBorder="1"/>
    <xf numFmtId="14" fontId="9" fillId="0" borderId="1" xfId="0" applyNumberFormat="1" applyFont="1" applyFill="1" applyBorder="1" applyAlignment="1">
      <alignment horizontal="right" wrapText="1"/>
    </xf>
    <xf numFmtId="164" fontId="5" fillId="0" borderId="0" xfId="0" applyNumberFormat="1" applyFont="1" applyFill="1" applyBorder="1" applyAlignment="1">
      <alignment horizontal="right" wrapText="1"/>
    </xf>
    <xf numFmtId="164" fontId="9" fillId="0" borderId="0" xfId="0" applyNumberFormat="1" applyFont="1" applyFill="1" applyBorder="1" applyAlignment="1">
      <alignment horizontal="right" wrapText="1"/>
    </xf>
    <xf numFmtId="0" fontId="9" fillId="0" borderId="4" xfId="0" applyFont="1" applyFill="1" applyBorder="1" applyAlignment="1">
      <alignment horizontal="left" vertical="center" wrapText="1"/>
    </xf>
    <xf numFmtId="0" fontId="9" fillId="0" borderId="0" xfId="0" applyNumberFormat="1" applyFont="1" applyFill="1" applyBorder="1" applyAlignment="1">
      <alignment horizontal="right" vertical="center" wrapText="1"/>
    </xf>
    <xf numFmtId="0" fontId="9" fillId="0" borderId="0" xfId="0" applyNumberFormat="1" applyFont="1" applyFill="1" applyBorder="1" applyAlignment="1">
      <alignment horizontal="right" vertical="center"/>
    </xf>
    <xf numFmtId="0" fontId="9" fillId="0" borderId="0" xfId="0" applyFont="1" applyFill="1" applyBorder="1" applyAlignment="1">
      <alignment horizontal="center"/>
    </xf>
    <xf numFmtId="0" fontId="9" fillId="0" borderId="5" xfId="12" applyFont="1" applyFill="1" applyBorder="1" applyAlignment="1">
      <alignment horizontal="right" wrapText="1"/>
    </xf>
    <xf numFmtId="0" fontId="9" fillId="0" borderId="5" xfId="0" applyFont="1" applyFill="1" applyBorder="1" applyAlignment="1">
      <alignment horizontal="right" wrapText="1"/>
    </xf>
    <xf numFmtId="164" fontId="9" fillId="0" borderId="0" xfId="0" applyNumberFormat="1" applyFont="1" applyFill="1" applyBorder="1" applyAlignment="1">
      <alignment horizontal="right"/>
    </xf>
    <xf numFmtId="164" fontId="5" fillId="0" borderId="0" xfId="13" applyNumberFormat="1" applyFont="1" applyFill="1" applyBorder="1" applyAlignment="1">
      <alignment horizontal="right"/>
    </xf>
    <xf numFmtId="0" fontId="5" fillId="0" borderId="2" xfId="0" applyFont="1" applyFill="1" applyBorder="1"/>
    <xf numFmtId="0" fontId="5" fillId="0" borderId="0" xfId="0" applyNumberFormat="1" applyFont="1" applyFill="1" applyBorder="1" applyAlignment="1">
      <alignment vertical="center"/>
    </xf>
    <xf numFmtId="0" fontId="10" fillId="0" borderId="0" xfId="0" applyFont="1" applyFill="1" applyAlignment="1">
      <alignment horizontal="right"/>
    </xf>
    <xf numFmtId="0" fontId="12" fillId="2" borderId="0" xfId="0" applyFont="1" applyFill="1"/>
    <xf numFmtId="164" fontId="5" fillId="0" borderId="0" xfId="0" applyNumberFormat="1" applyFont="1" applyFill="1" applyAlignment="1"/>
    <xf numFmtId="0" fontId="14" fillId="0" borderId="4" xfId="0" applyFont="1" applyFill="1" applyBorder="1" applyAlignment="1">
      <alignment horizontal="left" vertical="center"/>
    </xf>
    <xf numFmtId="0" fontId="14" fillId="0" borderId="0" xfId="0" applyFont="1" applyFill="1" applyBorder="1" applyAlignment="1">
      <alignment horizontal="left" vertical="center"/>
    </xf>
    <xf numFmtId="0" fontId="9" fillId="2" borderId="1" xfId="12" applyFont="1" applyFill="1" applyBorder="1" applyAlignment="1">
      <alignment horizontal="right" wrapText="1"/>
    </xf>
    <xf numFmtId="3" fontId="9" fillId="2" borderId="1" xfId="0" applyNumberFormat="1" applyFont="1" applyFill="1" applyBorder="1" applyAlignment="1">
      <alignment horizontal="right" wrapText="1"/>
    </xf>
    <xf numFmtId="0" fontId="9" fillId="2" borderId="2" xfId="0" applyFont="1" applyFill="1" applyBorder="1" applyAlignment="1">
      <alignment horizontal="left"/>
    </xf>
    <xf numFmtId="3" fontId="5" fillId="2" borderId="2" xfId="0" applyNumberFormat="1" applyFont="1" applyFill="1" applyBorder="1"/>
    <xf numFmtId="3" fontId="9" fillId="2" borderId="2" xfId="0" applyNumberFormat="1" applyFont="1" applyFill="1" applyBorder="1"/>
    <xf numFmtId="0" fontId="10" fillId="2" borderId="2" xfId="0" applyFont="1" applyFill="1" applyBorder="1" applyAlignment="1">
      <alignment vertical="center" wrapText="1"/>
    </xf>
    <xf numFmtId="3" fontId="5" fillId="2" borderId="2" xfId="0" applyNumberFormat="1" applyFont="1" applyFill="1" applyBorder="1" applyAlignment="1">
      <alignment vertical="center"/>
    </xf>
    <xf numFmtId="3" fontId="9" fillId="2" borderId="2" xfId="0" applyNumberFormat="1" applyFont="1" applyFill="1" applyBorder="1" applyAlignment="1">
      <alignment vertical="center"/>
    </xf>
    <xf numFmtId="0" fontId="10" fillId="2" borderId="3" xfId="0" applyFont="1" applyFill="1" applyBorder="1" applyAlignment="1">
      <alignment vertical="center" wrapText="1"/>
    </xf>
    <xf numFmtId="3" fontId="11" fillId="2" borderId="0" xfId="0" applyNumberFormat="1" applyFont="1" applyFill="1" applyBorder="1"/>
    <xf numFmtId="0" fontId="22" fillId="2" borderId="1" xfId="0" applyFont="1" applyFill="1" applyBorder="1" applyAlignment="1"/>
    <xf numFmtId="0" fontId="9" fillId="2" borderId="1" xfId="0" applyFont="1" applyFill="1" applyBorder="1" applyAlignment="1">
      <alignment horizontal="left" wrapText="1"/>
    </xf>
    <xf numFmtId="0" fontId="5" fillId="2" borderId="1" xfId="0" applyFont="1" applyFill="1" applyBorder="1" applyAlignment="1">
      <alignment horizontal="right"/>
    </xf>
    <xf numFmtId="0" fontId="9" fillId="2" borderId="2" xfId="0" applyFont="1" applyFill="1" applyBorder="1"/>
    <xf numFmtId="3" fontId="11" fillId="2" borderId="2" xfId="0" applyNumberFormat="1" applyFont="1" applyFill="1" applyBorder="1"/>
    <xf numFmtId="3" fontId="10" fillId="2" borderId="2" xfId="0" applyNumberFormat="1" applyFont="1" applyFill="1" applyBorder="1"/>
    <xf numFmtId="173" fontId="11" fillId="2" borderId="2" xfId="0" applyNumberFormat="1" applyFont="1" applyFill="1" applyBorder="1"/>
    <xf numFmtId="3" fontId="9" fillId="2" borderId="5" xfId="0" applyNumberFormat="1" applyFont="1" applyFill="1" applyBorder="1" applyAlignment="1">
      <alignment horizontal="center" wrapText="1"/>
    </xf>
    <xf numFmtId="173" fontId="5" fillId="2" borderId="2" xfId="0" applyNumberFormat="1" applyFont="1" applyFill="1" applyBorder="1" applyAlignment="1">
      <alignment horizontal="right"/>
    </xf>
    <xf numFmtId="173" fontId="5" fillId="2" borderId="2" xfId="0" applyNumberFormat="1" applyFont="1" applyFill="1" applyBorder="1"/>
    <xf numFmtId="173" fontId="9" fillId="2" borderId="2" xfId="0" applyNumberFormat="1" applyFont="1" applyFill="1" applyBorder="1" applyAlignment="1">
      <alignment horizontal="right"/>
    </xf>
    <xf numFmtId="3" fontId="5" fillId="2" borderId="0" xfId="0" applyNumberFormat="1" applyFont="1" applyFill="1"/>
    <xf numFmtId="0" fontId="2" fillId="2" borderId="0" xfId="0" applyFont="1" applyFill="1"/>
    <xf numFmtId="3" fontId="9" fillId="0" borderId="1" xfId="0" applyNumberFormat="1" applyFont="1" applyFill="1" applyBorder="1" applyAlignment="1">
      <alignment horizontal="right" wrapText="1"/>
    </xf>
    <xf numFmtId="0" fontId="5" fillId="0" borderId="0" xfId="0" applyFont="1" applyFill="1" applyBorder="1" applyAlignment="1"/>
    <xf numFmtId="0" fontId="10" fillId="0" borderId="1" xfId="0" applyFont="1" applyFill="1" applyBorder="1" applyAlignment="1"/>
    <xf numFmtId="172" fontId="5" fillId="0" borderId="2" xfId="0" applyNumberFormat="1" applyFont="1" applyFill="1" applyBorder="1"/>
    <xf numFmtId="0" fontId="22" fillId="0" borderId="1" xfId="0" applyFont="1" applyFill="1" applyBorder="1" applyAlignment="1">
      <alignment horizontal="right"/>
    </xf>
    <xf numFmtId="172" fontId="9" fillId="0" borderId="4" xfId="0" applyNumberFormat="1" applyFont="1" applyFill="1" applyBorder="1" applyAlignment="1">
      <alignment horizontal="right" vertical="center"/>
    </xf>
    <xf numFmtId="172" fontId="9" fillId="0" borderId="0" xfId="0" applyNumberFormat="1" applyFont="1" applyFill="1" applyBorder="1"/>
    <xf numFmtId="172" fontId="9" fillId="0" borderId="0" xfId="0" applyNumberFormat="1" applyFont="1" applyFill="1" applyBorder="1" applyAlignment="1">
      <alignment horizontal="right"/>
    </xf>
    <xf numFmtId="0" fontId="8" fillId="0" borderId="0" xfId="0" applyFont="1" applyFill="1" applyBorder="1" applyAlignment="1">
      <alignment horizontal="left" vertical="center" wrapText="1"/>
    </xf>
    <xf numFmtId="0" fontId="8" fillId="0" borderId="0" xfId="0" applyFont="1" applyFill="1" applyBorder="1" applyAlignment="1">
      <alignment horizontal="left" vertical="top" wrapText="1"/>
    </xf>
    <xf numFmtId="0" fontId="8" fillId="2" borderId="0" xfId="0" applyFont="1" applyFill="1" applyBorder="1" applyAlignment="1">
      <alignment horizontal="left" vertical="center" wrapText="1"/>
    </xf>
    <xf numFmtId="0" fontId="8" fillId="0" borderId="0" xfId="14" applyFont="1" applyFill="1" applyBorder="1" applyAlignment="1">
      <alignment horizontal="left" vertical="center" wrapText="1"/>
    </xf>
    <xf numFmtId="0" fontId="9" fillId="0" borderId="1" xfId="0" applyFont="1" applyFill="1" applyBorder="1" applyAlignment="1">
      <alignment horizontal="center" wrapText="1"/>
    </xf>
    <xf numFmtId="0" fontId="9" fillId="0" borderId="0" xfId="0" applyFont="1" applyFill="1" applyBorder="1" applyAlignment="1">
      <alignment horizontal="center" wrapText="1"/>
    </xf>
    <xf numFmtId="0" fontId="9" fillId="2" borderId="0" xfId="0" applyFont="1" applyFill="1" applyBorder="1" applyAlignment="1">
      <alignment horizontal="right"/>
    </xf>
    <xf numFmtId="0" fontId="14" fillId="2" borderId="1" xfId="0" applyFont="1" applyFill="1" applyBorder="1" applyAlignment="1">
      <alignment horizontal="left" wrapText="1"/>
    </xf>
    <xf numFmtId="0" fontId="9" fillId="2" borderId="1" xfId="0" quotePrefix="1" applyFont="1" applyFill="1" applyBorder="1" applyAlignment="1">
      <alignment horizontal="right" wrapText="1"/>
    </xf>
    <xf numFmtId="0" fontId="9" fillId="2" borderId="0" xfId="0" applyFont="1" applyFill="1" applyBorder="1" applyAlignment="1">
      <alignment horizontal="left" wrapText="1"/>
    </xf>
    <xf numFmtId="166" fontId="5" fillId="2" borderId="0" xfId="17" applyNumberFormat="1" applyFont="1" applyFill="1" applyBorder="1"/>
    <xf numFmtId="166" fontId="5" fillId="2" borderId="0" xfId="17" applyNumberFormat="1" applyFont="1" applyFill="1" applyBorder="1" applyAlignment="1">
      <alignment horizontal="right"/>
    </xf>
    <xf numFmtId="0" fontId="9" fillId="2" borderId="4" xfId="18" applyFont="1" applyFill="1" applyBorder="1" applyAlignment="1">
      <alignment horizontal="left" vertical="center" wrapText="1"/>
    </xf>
    <xf numFmtId="174" fontId="9" fillId="2" borderId="4" xfId="0" applyNumberFormat="1" applyFont="1" applyFill="1" applyBorder="1" applyAlignment="1">
      <alignment vertical="center"/>
    </xf>
    <xf numFmtId="0" fontId="9" fillId="2" borderId="0" xfId="18" applyFont="1" applyFill="1" applyBorder="1" applyAlignment="1">
      <alignment horizontal="left" vertical="center" wrapText="1"/>
    </xf>
    <xf numFmtId="166" fontId="9" fillId="2" borderId="0" xfId="0" applyNumberFormat="1" applyFont="1" applyFill="1" applyBorder="1" applyAlignment="1">
      <alignment vertical="center"/>
    </xf>
    <xf numFmtId="0" fontId="14" fillId="0" borderId="1" xfId="0" applyFont="1" applyFill="1" applyBorder="1" applyAlignment="1">
      <alignment wrapText="1"/>
    </xf>
    <xf numFmtId="0" fontId="14" fillId="0" borderId="1" xfId="0" applyFont="1" applyFill="1" applyBorder="1" applyAlignment="1">
      <alignment horizontal="right" wrapText="1"/>
    </xf>
    <xf numFmtId="164" fontId="14" fillId="0" borderId="4" xfId="0" applyNumberFormat="1" applyFont="1" applyFill="1" applyBorder="1" applyAlignment="1">
      <alignment vertical="center"/>
    </xf>
    <xf numFmtId="0" fontId="5" fillId="0" borderId="0" xfId="0" applyFont="1" applyFill="1" applyAlignment="1">
      <alignment horizontal="left" vertical="top" wrapText="1"/>
    </xf>
    <xf numFmtId="0" fontId="9" fillId="0" borderId="1" xfId="0" applyFont="1" applyFill="1" applyBorder="1" applyAlignment="1">
      <alignment horizontal="left" wrapText="1"/>
    </xf>
    <xf numFmtId="0" fontId="9" fillId="0" borderId="1" xfId="19" applyFont="1" applyFill="1" applyBorder="1" applyAlignment="1">
      <alignment horizontal="center"/>
    </xf>
    <xf numFmtId="0" fontId="9" fillId="0" borderId="1" xfId="19" applyFont="1" applyFill="1" applyBorder="1" applyAlignment="1">
      <alignment horizontal="center" wrapText="1"/>
    </xf>
    <xf numFmtId="0" fontId="9" fillId="0" borderId="1" xfId="4" applyFont="1" applyFill="1" applyBorder="1" applyAlignment="1">
      <alignment horizontal="center" wrapText="1"/>
    </xf>
    <xf numFmtId="0" fontId="9" fillId="0" borderId="0" xfId="19" applyFont="1" applyFill="1" applyBorder="1" applyAlignment="1">
      <alignment horizontal="left"/>
    </xf>
    <xf numFmtId="169" fontId="5" fillId="0" borderId="0" xfId="17" applyNumberFormat="1" applyFont="1" applyFill="1" applyBorder="1" applyAlignment="1">
      <alignment horizontal="right"/>
    </xf>
    <xf numFmtId="166" fontId="9" fillId="0" borderId="0" xfId="17" applyNumberFormat="1" applyFont="1" applyFill="1" applyBorder="1" applyAlignment="1">
      <alignment horizontal="right"/>
    </xf>
    <xf numFmtId="172" fontId="11" fillId="0" borderId="0" xfId="0" quotePrefix="1" applyNumberFormat="1" applyFont="1" applyFill="1" applyBorder="1" applyAlignment="1">
      <alignment horizontal="right"/>
    </xf>
    <xf numFmtId="0" fontId="9" fillId="0" borderId="0" xfId="0" quotePrefix="1" applyFont="1" applyFill="1" applyBorder="1" applyAlignment="1">
      <alignment horizontal="left"/>
    </xf>
    <xf numFmtId="0" fontId="9" fillId="0" borderId="2" xfId="19" applyFont="1" applyFill="1" applyBorder="1" applyAlignment="1"/>
    <xf numFmtId="172" fontId="11" fillId="0" borderId="2" xfId="0" quotePrefix="1" applyNumberFormat="1" applyFont="1" applyFill="1" applyBorder="1" applyAlignment="1">
      <alignment horizontal="right"/>
    </xf>
    <xf numFmtId="0" fontId="9" fillId="0" borderId="1" xfId="19" applyFont="1" applyFill="1" applyBorder="1" applyAlignment="1">
      <alignment horizontal="left"/>
    </xf>
    <xf numFmtId="0" fontId="9" fillId="0" borderId="1" xfId="19" applyFont="1" applyFill="1" applyBorder="1" applyAlignment="1">
      <alignment horizontal="right"/>
    </xf>
    <xf numFmtId="0" fontId="9" fillId="0" borderId="1" xfId="19" applyFont="1" applyFill="1" applyBorder="1" applyAlignment="1">
      <alignment horizontal="right" wrapText="1"/>
    </xf>
    <xf numFmtId="0" fontId="9" fillId="0" borderId="0" xfId="19" applyFont="1" applyFill="1" applyBorder="1" applyAlignment="1"/>
    <xf numFmtId="175" fontId="5" fillId="0" borderId="0" xfId="17" applyNumberFormat="1" applyFont="1" applyFill="1" applyBorder="1" applyAlignment="1">
      <alignment horizontal="right"/>
    </xf>
    <xf numFmtId="0" fontId="9" fillId="0" borderId="0" xfId="0" applyFont="1" applyFill="1" applyBorder="1" applyAlignment="1"/>
    <xf numFmtId="166" fontId="9" fillId="0" borderId="0" xfId="17" applyNumberFormat="1" applyFont="1" applyFill="1" applyBorder="1" applyAlignment="1"/>
    <xf numFmtId="166" fontId="9" fillId="0" borderId="4" xfId="17" applyNumberFormat="1" applyFont="1" applyFill="1" applyBorder="1" applyAlignment="1">
      <alignment vertical="center"/>
    </xf>
    <xf numFmtId="175" fontId="5" fillId="0" borderId="4" xfId="17" applyNumberFormat="1" applyFont="1" applyFill="1" applyBorder="1" applyAlignment="1">
      <alignment horizontal="right" vertical="center"/>
    </xf>
    <xf numFmtId="166" fontId="9" fillId="0" borderId="0" xfId="17" applyNumberFormat="1" applyFont="1" applyFill="1" applyBorder="1" applyAlignment="1">
      <alignment vertical="center"/>
    </xf>
    <xf numFmtId="3" fontId="9" fillId="0" borderId="0" xfId="19" quotePrefix="1" applyNumberFormat="1" applyFont="1" applyFill="1" applyBorder="1" applyAlignment="1">
      <alignment horizontal="right" vertical="center"/>
    </xf>
    <xf numFmtId="1" fontId="9" fillId="0" borderId="0" xfId="0" applyNumberFormat="1" applyFont="1" applyFill="1" applyBorder="1" applyAlignment="1">
      <alignment vertical="center"/>
    </xf>
    <xf numFmtId="165" fontId="9" fillId="0" borderId="0" xfId="17" applyFont="1" applyFill="1" applyBorder="1" applyAlignment="1">
      <alignment horizontal="right" vertical="center"/>
    </xf>
    <xf numFmtId="2" fontId="10" fillId="0" borderId="0" xfId="0" applyNumberFormat="1" applyFont="1" applyFill="1" applyBorder="1" applyAlignment="1">
      <alignment vertical="center"/>
    </xf>
    <xf numFmtId="165" fontId="10" fillId="0" borderId="0" xfId="0" quotePrefix="1" applyNumberFormat="1" applyFont="1" applyFill="1" applyBorder="1" applyAlignment="1">
      <alignment horizontal="right" vertical="center"/>
    </xf>
    <xf numFmtId="0" fontId="9" fillId="0" borderId="0" xfId="19" applyNumberFormat="1" applyFont="1" applyFill="1" applyBorder="1" applyAlignment="1">
      <alignment horizontal="right"/>
    </xf>
    <xf numFmtId="0" fontId="9" fillId="0" borderId="0" xfId="19" applyNumberFormat="1" applyFont="1" applyFill="1" applyBorder="1" applyAlignment="1">
      <alignment horizontal="right" wrapText="1"/>
    </xf>
    <xf numFmtId="164" fontId="5" fillId="0" borderId="8" xfId="0" applyNumberFormat="1" applyFont="1" applyFill="1" applyBorder="1"/>
    <xf numFmtId="172" fontId="5" fillId="0" borderId="8" xfId="0" applyNumberFormat="1" applyFont="1" applyFill="1" applyBorder="1"/>
    <xf numFmtId="0" fontId="16" fillId="0" borderId="4" xfId="0" applyFont="1" applyFill="1" applyBorder="1" applyAlignment="1">
      <alignment vertical="center"/>
    </xf>
    <xf numFmtId="172" fontId="16" fillId="0" borderId="4" xfId="0" applyNumberFormat="1" applyFont="1" applyFill="1" applyBorder="1" applyAlignment="1">
      <alignment vertical="center"/>
    </xf>
    <xf numFmtId="0" fontId="16" fillId="0" borderId="0" xfId="0" applyFont="1" applyFill="1" applyBorder="1" applyAlignment="1">
      <alignment vertical="center"/>
    </xf>
    <xf numFmtId="2" fontId="16" fillId="0" borderId="0" xfId="0" applyNumberFormat="1" applyFont="1" applyFill="1" applyBorder="1" applyAlignment="1">
      <alignment vertical="center"/>
    </xf>
    <xf numFmtId="0" fontId="9" fillId="2" borderId="4" xfId="0" applyFont="1" applyFill="1" applyBorder="1" applyAlignment="1">
      <alignment vertical="center"/>
    </xf>
    <xf numFmtId="0" fontId="24" fillId="0" borderId="0" xfId="0" applyFont="1" applyFill="1" applyBorder="1"/>
    <xf numFmtId="0" fontId="0" fillId="0" borderId="0" xfId="0" applyFill="1"/>
    <xf numFmtId="0" fontId="4" fillId="0" borderId="0" xfId="0" applyFont="1" applyFill="1" applyAlignment="1">
      <alignment wrapText="1"/>
    </xf>
    <xf numFmtId="166" fontId="5" fillId="0" borderId="0" xfId="21" applyNumberFormat="1" applyFont="1" applyFill="1" applyBorder="1" applyAlignment="1">
      <alignment horizontal="right" wrapText="1"/>
    </xf>
    <xf numFmtId="166" fontId="9" fillId="0" borderId="0" xfId="21" applyNumberFormat="1" applyFont="1" applyFill="1" applyBorder="1" applyAlignment="1">
      <alignment horizontal="right" wrapText="1"/>
    </xf>
    <xf numFmtId="9" fontId="5" fillId="0" borderId="0" xfId="22" applyFont="1" applyFill="1" applyBorder="1"/>
    <xf numFmtId="166" fontId="9" fillId="0" borderId="0" xfId="21" applyNumberFormat="1" applyFont="1" applyFill="1" applyBorder="1" applyAlignment="1">
      <alignment horizontal="right" vertical="center" wrapText="1"/>
    </xf>
    <xf numFmtId="9" fontId="5" fillId="0" borderId="0" xfId="22" applyFont="1" applyFill="1" applyBorder="1" applyAlignment="1">
      <alignment vertical="center"/>
    </xf>
    <xf numFmtId="166" fontId="9" fillId="0" borderId="1" xfId="22" applyNumberFormat="1" applyFont="1" applyFill="1" applyBorder="1" applyAlignment="1">
      <alignment horizontal="right" vertical="center" wrapText="1"/>
    </xf>
    <xf numFmtId="9" fontId="5" fillId="0" borderId="0" xfId="22" applyFont="1" applyFill="1" applyBorder="1" applyAlignment="1">
      <alignment horizontal="right" wrapText="1"/>
    </xf>
    <xf numFmtId="9" fontId="5" fillId="0" borderId="0" xfId="22" applyFont="1" applyFill="1" applyAlignment="1">
      <alignment horizontal="right" wrapText="1"/>
    </xf>
    <xf numFmtId="168" fontId="11" fillId="0" borderId="3" xfId="22" applyNumberFormat="1" applyFont="1" applyFill="1" applyBorder="1" applyAlignment="1">
      <alignment horizontal="right" wrapText="1"/>
    </xf>
    <xf numFmtId="9" fontId="11" fillId="0" borderId="0" xfId="22" applyFont="1" applyFill="1" applyBorder="1" applyAlignment="1">
      <alignment horizontal="right" wrapText="1"/>
    </xf>
    <xf numFmtId="1" fontId="11" fillId="2" borderId="0" xfId="22" applyNumberFormat="1" applyFont="1" applyFill="1" applyBorder="1" applyAlignment="1">
      <alignment horizontal="right"/>
    </xf>
    <xf numFmtId="1" fontId="10" fillId="2" borderId="0" xfId="22" applyNumberFormat="1" applyFont="1" applyFill="1" applyBorder="1" applyAlignment="1">
      <alignment horizontal="right"/>
    </xf>
    <xf numFmtId="9" fontId="11" fillId="0" borderId="0" xfId="22" applyNumberFormat="1" applyFont="1" applyFill="1" applyBorder="1" applyAlignment="1">
      <alignment horizontal="right"/>
    </xf>
    <xf numFmtId="9" fontId="10" fillId="0" borderId="4" xfId="22" applyNumberFormat="1" applyFont="1" applyFill="1" applyBorder="1" applyAlignment="1">
      <alignment horizontal="right" vertical="center"/>
    </xf>
    <xf numFmtId="9" fontId="10" fillId="0" borderId="0" xfId="22" applyFont="1" applyFill="1" applyBorder="1" applyAlignment="1" applyProtection="1">
      <alignment horizontal="right"/>
      <protection locked="0"/>
    </xf>
    <xf numFmtId="164" fontId="9" fillId="0" borderId="0" xfId="21" applyNumberFormat="1" applyFont="1" applyFill="1" applyBorder="1" applyAlignment="1">
      <alignment vertical="center"/>
    </xf>
    <xf numFmtId="10" fontId="9" fillId="0" borderId="0" xfId="22" applyNumberFormat="1" applyFont="1" applyFill="1" applyBorder="1" applyAlignment="1">
      <alignment vertical="center"/>
    </xf>
    <xf numFmtId="168" fontId="5" fillId="2" borderId="3" xfId="22" applyNumberFormat="1" applyFont="1" applyFill="1" applyBorder="1" applyAlignment="1">
      <alignment vertical="center"/>
    </xf>
    <xf numFmtId="168" fontId="9" fillId="2" borderId="3" xfId="22" applyNumberFormat="1" applyFont="1" applyFill="1" applyBorder="1" applyAlignment="1">
      <alignment vertical="center"/>
    </xf>
    <xf numFmtId="3" fontId="10" fillId="0" borderId="0" xfId="0" applyNumberFormat="1" applyFont="1" applyFill="1" applyBorder="1"/>
    <xf numFmtId="9" fontId="5" fillId="0" borderId="0" xfId="22" applyFont="1" applyFill="1"/>
    <xf numFmtId="172" fontId="9" fillId="0" borderId="4" xfId="22" applyNumberFormat="1" applyFont="1" applyFill="1" applyBorder="1" applyAlignment="1">
      <alignment vertical="center"/>
    </xf>
    <xf numFmtId="9" fontId="10" fillId="0" borderId="0" xfId="22" applyFont="1" applyFill="1" applyBorder="1" applyAlignment="1">
      <alignment vertical="center"/>
    </xf>
    <xf numFmtId="166" fontId="5" fillId="0" borderId="8" xfId="21" applyNumberFormat="1" applyFont="1" applyFill="1" applyBorder="1"/>
    <xf numFmtId="166" fontId="9" fillId="0" borderId="8" xfId="21" applyNumberFormat="1" applyFont="1" applyFill="1" applyBorder="1"/>
    <xf numFmtId="166" fontId="5" fillId="0" borderId="0" xfId="21" applyNumberFormat="1" applyFont="1" applyFill="1" applyBorder="1"/>
    <xf numFmtId="166" fontId="9" fillId="0" borderId="0" xfId="21" applyNumberFormat="1" applyFont="1" applyFill="1" applyBorder="1"/>
    <xf numFmtId="166" fontId="16" fillId="0" borderId="4" xfId="21" applyNumberFormat="1" applyFont="1" applyFill="1" applyBorder="1" applyAlignment="1">
      <alignment vertical="center"/>
    </xf>
    <xf numFmtId="166" fontId="16" fillId="0" borderId="0" xfId="21" applyNumberFormat="1" applyFont="1" applyFill="1" applyBorder="1" applyAlignment="1">
      <alignment vertical="center"/>
    </xf>
    <xf numFmtId="9" fontId="16" fillId="0" borderId="0" xfId="22" applyNumberFormat="1" applyFont="1" applyFill="1" applyBorder="1" applyAlignment="1">
      <alignment vertical="center"/>
    </xf>
    <xf numFmtId="166" fontId="9" fillId="0" borderId="4" xfId="21" applyNumberFormat="1" applyFont="1" applyFill="1" applyBorder="1" applyAlignment="1">
      <alignment vertical="center"/>
    </xf>
    <xf numFmtId="166" fontId="9" fillId="0" borderId="3" xfId="21" applyNumberFormat="1" applyFont="1" applyFill="1" applyBorder="1"/>
    <xf numFmtId="166" fontId="9" fillId="0" borderId="1" xfId="21" applyNumberFormat="1" applyFont="1" applyFill="1" applyBorder="1" applyAlignment="1">
      <alignment horizontal="right" wrapText="1"/>
    </xf>
    <xf numFmtId="166" fontId="9" fillId="0" borderId="4" xfId="21" applyNumberFormat="1" applyFont="1" applyFill="1" applyBorder="1" applyAlignment="1">
      <alignment horizontal="right" vertical="center" wrapText="1"/>
    </xf>
    <xf numFmtId="9" fontId="10" fillId="0" borderId="2" xfId="22" applyFont="1" applyFill="1" applyBorder="1"/>
    <xf numFmtId="9" fontId="10" fillId="0" borderId="0" xfId="22" applyFont="1" applyFill="1" applyBorder="1"/>
    <xf numFmtId="166" fontId="9" fillId="0" borderId="3" xfId="21" applyNumberFormat="1" applyFont="1" applyFill="1" applyBorder="1" applyAlignment="1">
      <alignment vertical="center"/>
    </xf>
    <xf numFmtId="166" fontId="9" fillId="0" borderId="0" xfId="21" applyNumberFormat="1" applyFont="1" applyFill="1" applyBorder="1" applyAlignment="1">
      <alignment vertical="center"/>
    </xf>
    <xf numFmtId="9" fontId="10" fillId="0" borderId="4" xfId="22" applyFont="1" applyFill="1" applyBorder="1" applyAlignment="1">
      <alignment vertical="center"/>
    </xf>
    <xf numFmtId="9" fontId="9" fillId="0" borderId="0" xfId="22" applyFont="1" applyFill="1" applyBorder="1" applyAlignment="1">
      <alignment vertical="center"/>
    </xf>
    <xf numFmtId="168" fontId="11" fillId="0" borderId="1" xfId="22" applyNumberFormat="1" applyFont="1" applyFill="1" applyBorder="1"/>
    <xf numFmtId="9" fontId="10" fillId="0" borderId="1" xfId="22" applyNumberFormat="1" applyFont="1" applyFill="1" applyBorder="1"/>
    <xf numFmtId="9" fontId="11" fillId="0" borderId="1" xfId="22" applyNumberFormat="1" applyFont="1" applyFill="1" applyBorder="1"/>
    <xf numFmtId="9" fontId="11" fillId="0" borderId="3" xfId="22" applyFont="1" applyFill="1" applyBorder="1"/>
    <xf numFmtId="166" fontId="11" fillId="0" borderId="0" xfId="0" applyNumberFormat="1" applyFont="1" applyFill="1"/>
    <xf numFmtId="0" fontId="8" fillId="2" borderId="0" xfId="0" applyFont="1" applyFill="1" applyBorder="1" applyAlignment="1">
      <alignment horizontal="left" vertical="top" wrapText="1"/>
    </xf>
    <xf numFmtId="0" fontId="9" fillId="2" borderId="0" xfId="0" applyFont="1" applyFill="1" applyBorder="1" applyAlignment="1">
      <alignment horizontal="center" wrapText="1"/>
    </xf>
    <xf numFmtId="170" fontId="5" fillId="0" borderId="2" xfId="6" applyNumberFormat="1" applyFont="1" applyFill="1" applyBorder="1" applyAlignment="1"/>
    <xf numFmtId="170" fontId="9" fillId="0" borderId="4" xfId="6" applyNumberFormat="1" applyFont="1" applyFill="1" applyBorder="1" applyAlignment="1"/>
    <xf numFmtId="164" fontId="5" fillId="0" borderId="4" xfId="0" applyNumberFormat="1" applyFont="1" applyFill="1" applyBorder="1"/>
    <xf numFmtId="3" fontId="5" fillId="0" borderId="1" xfId="7" applyNumberFormat="1" applyFont="1" applyFill="1" applyBorder="1" applyAlignment="1">
      <alignment horizontal="right"/>
    </xf>
    <xf numFmtId="0" fontId="0" fillId="0" borderId="1" xfId="0" applyBorder="1"/>
    <xf numFmtId="0" fontId="5" fillId="2" borderId="2" xfId="0" applyNumberFormat="1" applyFont="1" applyFill="1" applyBorder="1"/>
    <xf numFmtId="3" fontId="5" fillId="2" borderId="2" xfId="0" applyNumberFormat="1" applyFont="1" applyFill="1" applyBorder="1" applyAlignment="1">
      <alignment horizontal="right"/>
    </xf>
    <xf numFmtId="168" fontId="11" fillId="2" borderId="2" xfId="2" quotePrefix="1" applyNumberFormat="1" applyFont="1" applyFill="1" applyBorder="1" applyAlignment="1">
      <alignment horizontal="right"/>
    </xf>
    <xf numFmtId="1" fontId="10" fillId="2" borderId="0" xfId="7" quotePrefix="1" applyNumberFormat="1" applyFont="1" applyFill="1" applyBorder="1" applyAlignment="1">
      <alignment horizontal="right"/>
    </xf>
    <xf numFmtId="3" fontId="9" fillId="2" borderId="2" xfId="0" applyNumberFormat="1" applyFont="1" applyFill="1" applyBorder="1" applyAlignment="1">
      <alignment horizontal="right"/>
    </xf>
    <xf numFmtId="3" fontId="5" fillId="2" borderId="2" xfId="7" applyNumberFormat="1" applyFont="1" applyFill="1" applyBorder="1" applyAlignment="1">
      <alignment horizontal="right"/>
    </xf>
    <xf numFmtId="3" fontId="9" fillId="2" borderId="2" xfId="0" quotePrefix="1" applyNumberFormat="1" applyFont="1" applyFill="1" applyBorder="1" applyAlignment="1">
      <alignment horizontal="right"/>
    </xf>
    <xf numFmtId="0" fontId="14" fillId="2" borderId="0" xfId="7" applyFont="1" applyFill="1" applyBorder="1" applyAlignment="1"/>
    <xf numFmtId="0" fontId="9" fillId="2" borderId="2" xfId="7" applyFont="1" applyFill="1" applyBorder="1" applyAlignment="1">
      <alignment horizontal="left" indent="1"/>
    </xf>
    <xf numFmtId="164" fontId="5" fillId="2" borderId="2" xfId="9" applyNumberFormat="1" applyFont="1" applyFill="1" applyBorder="1" applyAlignment="1">
      <alignment horizontal="right" wrapText="1"/>
    </xf>
    <xf numFmtId="0" fontId="9" fillId="2" borderId="2" xfId="0" applyFont="1" applyFill="1" applyBorder="1" applyAlignment="1">
      <alignment horizontal="right"/>
    </xf>
    <xf numFmtId="172" fontId="9" fillId="2" borderId="2" xfId="0" applyNumberFormat="1" applyFont="1" applyFill="1" applyBorder="1" applyAlignment="1">
      <alignment horizontal="right"/>
    </xf>
    <xf numFmtId="2" fontId="5" fillId="2" borderId="2" xfId="22" applyNumberFormat="1" applyFont="1" applyFill="1" applyBorder="1"/>
    <xf numFmtId="172" fontId="11" fillId="2" borderId="2" xfId="0" applyNumberFormat="1" applyFont="1" applyFill="1" applyBorder="1" applyAlignment="1">
      <alignment horizontal="right"/>
    </xf>
    <xf numFmtId="0" fontId="10" fillId="2" borderId="2" xfId="0" applyFont="1" applyFill="1" applyBorder="1" applyAlignment="1">
      <alignment horizontal="right"/>
    </xf>
    <xf numFmtId="172" fontId="10" fillId="2" borderId="2" xfId="0" applyNumberFormat="1" applyFont="1" applyFill="1" applyBorder="1" applyAlignment="1">
      <alignment horizontal="right"/>
    </xf>
    <xf numFmtId="166" fontId="5" fillId="0" borderId="2" xfId="21" applyNumberFormat="1" applyFont="1" applyFill="1" applyBorder="1"/>
    <xf numFmtId="0" fontId="25" fillId="0" borderId="0" xfId="0" applyFont="1"/>
    <xf numFmtId="0" fontId="9" fillId="2" borderId="0" xfId="7" applyFont="1" applyFill="1" applyBorder="1" applyAlignment="1">
      <alignment horizontal="left" wrapText="1"/>
    </xf>
    <xf numFmtId="172" fontId="9" fillId="0" borderId="0" xfId="5" applyNumberFormat="1" applyFont="1" applyFill="1" applyBorder="1" applyAlignment="1">
      <alignment horizontal="right" vertical="center" wrapText="1"/>
    </xf>
    <xf numFmtId="172" fontId="9" fillId="0" borderId="0" xfId="5" applyNumberFormat="1" applyFont="1" applyFill="1" applyBorder="1" applyAlignment="1">
      <alignment horizontal="right" wrapText="1"/>
    </xf>
    <xf numFmtId="172" fontId="9" fillId="0" borderId="1" xfId="5" applyNumberFormat="1" applyFont="1" applyFill="1" applyBorder="1" applyAlignment="1">
      <alignment horizontal="right" wrapText="1"/>
    </xf>
    <xf numFmtId="164" fontId="9" fillId="0" borderId="4" xfId="0" applyNumberFormat="1" applyFont="1" applyFill="1" applyBorder="1"/>
    <xf numFmtId="1" fontId="5" fillId="0" borderId="3" xfId="0" applyNumberFormat="1" applyFont="1" applyFill="1" applyBorder="1" applyAlignment="1">
      <alignment vertical="center"/>
    </xf>
    <xf numFmtId="1" fontId="5" fillId="2" borderId="2" xfId="9" applyNumberFormat="1" applyFont="1" applyFill="1" applyBorder="1" applyAlignment="1">
      <alignment horizontal="right" wrapText="1"/>
    </xf>
    <xf numFmtId="1" fontId="5" fillId="2" borderId="0" xfId="9" quotePrefix="1" applyNumberFormat="1" applyFont="1" applyFill="1" applyBorder="1" applyAlignment="1">
      <alignment horizontal="right" wrapText="1"/>
    </xf>
    <xf numFmtId="1" fontId="5" fillId="2" borderId="0" xfId="9" applyNumberFormat="1" applyFont="1" applyFill="1" applyBorder="1" applyAlignment="1">
      <alignment horizontal="right" wrapText="1"/>
    </xf>
    <xf numFmtId="1" fontId="9" fillId="2" borderId="4" xfId="7" applyNumberFormat="1" applyFont="1" applyFill="1" applyBorder="1" applyAlignment="1">
      <alignment horizontal="right" vertical="center"/>
    </xf>
    <xf numFmtId="1" fontId="5" fillId="2" borderId="2" xfId="0" applyNumberFormat="1" applyFont="1" applyFill="1" applyBorder="1" applyAlignment="1">
      <alignment horizontal="right"/>
    </xf>
    <xf numFmtId="1" fontId="5" fillId="2" borderId="0" xfId="0" applyNumberFormat="1" applyFont="1" applyFill="1" applyAlignment="1">
      <alignment horizontal="right"/>
    </xf>
    <xf numFmtId="1" fontId="9" fillId="2" borderId="2" xfId="1" applyNumberFormat="1" applyFont="1" applyFill="1" applyBorder="1" applyAlignment="1">
      <alignment horizontal="right" wrapText="1"/>
    </xf>
    <xf numFmtId="1" fontId="9" fillId="2" borderId="0" xfId="1" applyNumberFormat="1" applyFont="1" applyFill="1" applyBorder="1" applyAlignment="1">
      <alignment horizontal="right" wrapText="1"/>
    </xf>
    <xf numFmtId="1" fontId="9" fillId="2" borderId="0" xfId="1" applyNumberFormat="1" applyFont="1" applyFill="1" applyBorder="1" applyAlignment="1">
      <alignment horizontal="right"/>
    </xf>
    <xf numFmtId="1" fontId="9" fillId="2" borderId="4" xfId="1" applyNumberFormat="1" applyFont="1" applyFill="1" applyBorder="1" applyAlignment="1">
      <alignment horizontal="right" wrapText="1"/>
    </xf>
    <xf numFmtId="1" fontId="9" fillId="2" borderId="4" xfId="0" applyNumberFormat="1" applyFont="1" applyFill="1" applyBorder="1" applyAlignment="1">
      <alignment vertical="center"/>
    </xf>
    <xf numFmtId="1" fontId="9" fillId="2" borderId="2" xfId="9" applyNumberFormat="1" applyFont="1" applyFill="1" applyBorder="1" applyAlignment="1">
      <alignment horizontal="right" wrapText="1"/>
    </xf>
    <xf numFmtId="1" fontId="9" fillId="2" borderId="0" xfId="9" quotePrefix="1" applyNumberFormat="1" applyFont="1" applyFill="1" applyBorder="1" applyAlignment="1">
      <alignment horizontal="right" wrapText="1"/>
    </xf>
    <xf numFmtId="1" fontId="9" fillId="2" borderId="0" xfId="9" applyNumberFormat="1" applyFont="1" applyFill="1" applyBorder="1" applyAlignment="1">
      <alignment horizontal="right" wrapText="1"/>
    </xf>
    <xf numFmtId="1" fontId="9" fillId="0" borderId="4" xfId="1" applyNumberFormat="1" applyFont="1" applyFill="1" applyBorder="1" applyAlignment="1">
      <alignment horizontal="right" vertical="center"/>
    </xf>
    <xf numFmtId="1" fontId="9" fillId="0" borderId="4" xfId="1" applyNumberFormat="1" applyFont="1" applyFill="1" applyBorder="1" applyAlignment="1">
      <alignment horizontal="right" wrapText="1"/>
    </xf>
    <xf numFmtId="166" fontId="5" fillId="0" borderId="1" xfId="21" applyNumberFormat="1" applyFont="1" applyFill="1" applyBorder="1" applyAlignment="1">
      <alignment horizontal="right" wrapText="1"/>
    </xf>
    <xf numFmtId="3" fontId="8" fillId="0" borderId="4" xfId="0" applyNumberFormat="1" applyFont="1" applyFill="1" applyBorder="1" applyAlignment="1"/>
    <xf numFmtId="166" fontId="9" fillId="0" borderId="4" xfId="0" applyNumberFormat="1" applyFont="1" applyFill="1" applyBorder="1" applyAlignment="1">
      <alignment vertical="center"/>
    </xf>
    <xf numFmtId="1" fontId="9" fillId="0" borderId="3" xfId="0" applyNumberFormat="1" applyFont="1" applyFill="1" applyBorder="1"/>
    <xf numFmtId="49" fontId="9" fillId="0" borderId="0" xfId="7" applyNumberFormat="1" applyFont="1" applyFill="1" applyBorder="1" applyAlignment="1">
      <alignment horizontal="left" wrapText="1"/>
    </xf>
    <xf numFmtId="0" fontId="9" fillId="0" borderId="0" xfId="0" applyFont="1" applyFill="1" applyAlignment="1"/>
    <xf numFmtId="0" fontId="5" fillId="2" borderId="3" xfId="0" applyFont="1" applyFill="1" applyBorder="1"/>
    <xf numFmtId="0" fontId="5" fillId="2" borderId="0" xfId="0" applyFont="1" applyFill="1" applyAlignment="1">
      <alignment horizontal="left" vertical="top" wrapText="1"/>
    </xf>
    <xf numFmtId="164" fontId="5" fillId="0" borderId="0" xfId="0" applyNumberFormat="1" applyFont="1" applyFill="1" applyBorder="1" applyAlignment="1">
      <alignment vertical="center"/>
    </xf>
    <xf numFmtId="172" fontId="5" fillId="0" borderId="2" xfId="0" applyNumberFormat="1" applyFont="1" applyFill="1" applyBorder="1" applyAlignment="1">
      <alignment horizontal="right"/>
    </xf>
    <xf numFmtId="172" fontId="5" fillId="0" borderId="0" xfId="0" applyNumberFormat="1" applyFont="1" applyFill="1" applyBorder="1" applyAlignment="1">
      <alignment horizontal="right"/>
    </xf>
    <xf numFmtId="0" fontId="22" fillId="0" borderId="1" xfId="0" applyFont="1" applyFill="1" applyBorder="1" applyAlignment="1"/>
    <xf numFmtId="0" fontId="9" fillId="0" borderId="5" xfId="4" applyFont="1" applyFill="1" applyBorder="1" applyAlignment="1">
      <alignment horizontal="center" wrapText="1"/>
    </xf>
    <xf numFmtId="164" fontId="16" fillId="0" borderId="4" xfId="0" applyNumberFormat="1" applyFont="1" applyFill="1" applyBorder="1" applyAlignment="1">
      <alignment vertical="center"/>
    </xf>
    <xf numFmtId="0" fontId="9" fillId="0" borderId="1" xfId="0" applyFont="1" applyFill="1" applyBorder="1" applyAlignment="1">
      <alignment horizontal="left" vertical="center"/>
    </xf>
    <xf numFmtId="164" fontId="5" fillId="4" borderId="0" xfId="0" applyNumberFormat="1" applyFont="1" applyFill="1" applyBorder="1" applyAlignment="1">
      <alignment horizontal="right"/>
    </xf>
    <xf numFmtId="0" fontId="8" fillId="2" borderId="0" xfId="0" applyFont="1" applyFill="1" applyBorder="1" applyAlignment="1">
      <alignment horizontal="left" vertical="center" wrapText="1"/>
    </xf>
    <xf numFmtId="0" fontId="8" fillId="2" borderId="0" xfId="0" applyFont="1" applyFill="1" applyAlignment="1">
      <alignment horizontal="left" vertical="center" wrapText="1"/>
    </xf>
    <xf numFmtId="0" fontId="27" fillId="2" borderId="1" xfId="0" applyFont="1" applyFill="1" applyBorder="1" applyAlignment="1">
      <alignment horizontal="center" wrapText="1"/>
    </xf>
    <xf numFmtId="0" fontId="5" fillId="2" borderId="2" xfId="0" applyFont="1" applyFill="1" applyBorder="1" applyAlignment="1">
      <alignment wrapText="1"/>
    </xf>
    <xf numFmtId="164" fontId="9" fillId="0" borderId="4" xfId="0" applyNumberFormat="1" applyFont="1" applyFill="1" applyBorder="1" applyAlignment="1">
      <alignment horizontal="right" vertical="center" wrapText="1"/>
    </xf>
    <xf numFmtId="0" fontId="0" fillId="0" borderId="3" xfId="0" applyBorder="1"/>
    <xf numFmtId="0" fontId="28" fillId="0" borderId="0" xfId="0" applyFont="1"/>
    <xf numFmtId="0" fontId="29" fillId="0" borderId="0" xfId="0" applyFont="1" applyFill="1" applyBorder="1" applyAlignment="1">
      <alignment vertical="center" wrapText="1"/>
    </xf>
    <xf numFmtId="0" fontId="0" fillId="0" borderId="0" xfId="0" applyFont="1"/>
    <xf numFmtId="0" fontId="30" fillId="0" borderId="0" xfId="0" applyFont="1" applyFill="1" applyBorder="1" applyAlignment="1">
      <alignment wrapText="1"/>
    </xf>
    <xf numFmtId="0" fontId="30" fillId="0" borderId="0" xfId="0" applyFont="1" applyFill="1" applyBorder="1" applyAlignment="1">
      <alignment horizontal="center"/>
    </xf>
    <xf numFmtId="0" fontId="31" fillId="0" borderId="0" xfId="0" applyFont="1" applyFill="1" applyBorder="1" applyAlignment="1">
      <alignment wrapText="1"/>
    </xf>
    <xf numFmtId="0" fontId="31" fillId="0" borderId="0" xfId="0" applyFont="1" applyFill="1" applyBorder="1" applyAlignment="1">
      <alignment horizontal="center"/>
    </xf>
    <xf numFmtId="0" fontId="30" fillId="0" borderId="0" xfId="0" applyFont="1" applyFill="1" applyBorder="1" applyAlignment="1"/>
    <xf numFmtId="0" fontId="30" fillId="0" borderId="0" xfId="0" applyFont="1" applyFill="1" applyBorder="1" applyAlignment="1">
      <alignment horizontal="left"/>
    </xf>
    <xf numFmtId="0" fontId="32" fillId="0" borderId="0" xfId="0" applyFont="1" applyFill="1" applyBorder="1" applyAlignment="1">
      <alignment wrapText="1"/>
    </xf>
    <xf numFmtId="0" fontId="33" fillId="0" borderId="0" xfId="0" applyFont="1"/>
    <xf numFmtId="0" fontId="16" fillId="2" borderId="0" xfId="0" applyFont="1" applyFill="1" applyAlignment="1"/>
    <xf numFmtId="0" fontId="16" fillId="2" borderId="0" xfId="0" applyFont="1" applyFill="1" applyBorder="1" applyAlignment="1">
      <alignment horizontal="left" vertical="center"/>
    </xf>
    <xf numFmtId="0" fontId="16" fillId="0" borderId="0" xfId="0" applyFont="1" applyFill="1" applyAlignment="1"/>
    <xf numFmtId="0" fontId="34" fillId="0" borderId="0" xfId="0" applyFont="1" applyFill="1" applyAlignment="1">
      <alignment vertical="center"/>
    </xf>
    <xf numFmtId="0" fontId="34" fillId="0" borderId="0" xfId="0" applyFont="1" applyFill="1"/>
    <xf numFmtId="0" fontId="34" fillId="0" borderId="0" xfId="0" applyFont="1" applyFill="1" applyAlignment="1"/>
    <xf numFmtId="0" fontId="16" fillId="2" borderId="0" xfId="0" applyFont="1" applyFill="1" applyAlignment="1">
      <alignment horizontal="left" vertical="center"/>
    </xf>
    <xf numFmtId="0" fontId="34" fillId="2" borderId="0" xfId="0" applyFont="1" applyFill="1"/>
    <xf numFmtId="0" fontId="16" fillId="2" borderId="0" xfId="0" applyFont="1" applyFill="1"/>
    <xf numFmtId="0" fontId="34" fillId="2" borderId="0" xfId="0" applyFont="1" applyFill="1" applyAlignment="1"/>
    <xf numFmtId="0" fontId="34" fillId="2" borderId="0" xfId="0" applyFont="1" applyFill="1" applyAlignment="1">
      <alignment horizontal="right"/>
    </xf>
    <xf numFmtId="172" fontId="34" fillId="2" borderId="0" xfId="0" applyNumberFormat="1" applyFont="1" applyFill="1" applyAlignment="1"/>
    <xf numFmtId="0" fontId="16" fillId="0" borderId="0" xfId="5" applyFont="1" applyFill="1" applyBorder="1" applyAlignment="1">
      <alignment horizontal="left"/>
    </xf>
    <xf numFmtId="1" fontId="16" fillId="0" borderId="0" xfId="5" applyNumberFormat="1" applyFont="1" applyFill="1" applyBorder="1" applyAlignment="1">
      <alignment horizontal="right" wrapText="1"/>
    </xf>
    <xf numFmtId="0" fontId="16" fillId="0" borderId="0" xfId="5" applyFont="1" applyFill="1" applyBorder="1" applyAlignment="1">
      <alignment horizontal="right" wrapText="1"/>
    </xf>
    <xf numFmtId="0" fontId="35" fillId="0" borderId="0" xfId="0" applyFont="1" applyFill="1" applyAlignment="1">
      <alignment vertical="center"/>
    </xf>
    <xf numFmtId="0" fontId="35" fillId="0" borderId="0" xfId="0" applyFont="1" applyFill="1"/>
    <xf numFmtId="0" fontId="34" fillId="0" borderId="0" xfId="0" applyFont="1" applyFill="1" applyAlignment="1">
      <alignment horizontal="left" vertical="top" wrapText="1"/>
    </xf>
    <xf numFmtId="3" fontId="16" fillId="0" borderId="0" xfId="0" applyNumberFormat="1" applyFont="1" applyFill="1"/>
    <xf numFmtId="3" fontId="34" fillId="0" borderId="0" xfId="0" applyNumberFormat="1" applyFont="1" applyFill="1"/>
    <xf numFmtId="0" fontId="16" fillId="0" borderId="0" xfId="0" applyFont="1" applyFill="1" applyBorder="1" applyAlignment="1">
      <alignment horizontal="left" vertical="top" wrapText="1"/>
    </xf>
    <xf numFmtId="0" fontId="16" fillId="0" borderId="0" xfId="0" applyFont="1" applyFill="1" applyBorder="1"/>
    <xf numFmtId="0" fontId="1" fillId="0" borderId="0" xfId="0" applyFont="1" applyFill="1"/>
    <xf numFmtId="0" fontId="36" fillId="0" borderId="0" xfId="3" applyFont="1" applyFill="1" applyAlignment="1" applyProtection="1"/>
    <xf numFmtId="0" fontId="16" fillId="0" borderId="0" xfId="0" applyFont="1" applyFill="1"/>
    <xf numFmtId="0" fontId="16" fillId="0" borderId="0" xfId="3" applyFont="1" applyFill="1" applyAlignment="1" applyProtection="1">
      <protection locked="0"/>
    </xf>
    <xf numFmtId="0" fontId="16" fillId="0" borderId="0" xfId="0" applyNumberFormat="1" applyFont="1" applyFill="1" applyBorder="1" applyAlignment="1" applyProtection="1">
      <alignment horizontal="right"/>
      <protection locked="0"/>
    </xf>
    <xf numFmtId="0" fontId="34" fillId="0" borderId="0" xfId="0" applyFont="1" applyFill="1" applyBorder="1" applyProtection="1">
      <protection locked="0"/>
    </xf>
    <xf numFmtId="0" fontId="34" fillId="0" borderId="0" xfId="0" applyFont="1" applyFill="1" applyProtection="1">
      <protection locked="0"/>
    </xf>
    <xf numFmtId="9" fontId="37" fillId="0" borderId="0" xfId="22" applyFont="1" applyFill="1" applyBorder="1" applyAlignment="1" applyProtection="1">
      <alignment horizontal="right"/>
      <protection locked="0"/>
    </xf>
    <xf numFmtId="0" fontId="35" fillId="2" borderId="0" xfId="0" applyFont="1" applyFill="1" applyAlignment="1">
      <alignment vertical="center"/>
    </xf>
    <xf numFmtId="0" fontId="34" fillId="0" borderId="0" xfId="0" applyFont="1" applyFill="1" applyBorder="1"/>
    <xf numFmtId="0" fontId="16" fillId="0" borderId="0" xfId="0" applyFont="1" applyFill="1" applyBorder="1" applyAlignment="1">
      <alignment horizontal="left" vertical="center"/>
    </xf>
    <xf numFmtId="164" fontId="34" fillId="0" borderId="0" xfId="13" applyNumberFormat="1" applyFont="1" applyFill="1" applyBorder="1" applyAlignment="1">
      <alignment horizontal="right"/>
    </xf>
    <xf numFmtId="0" fontId="0" fillId="0" borderId="0" xfId="0" applyFont="1" applyAlignment="1"/>
    <xf numFmtId="164" fontId="34" fillId="0" borderId="0" xfId="0" applyNumberFormat="1" applyFont="1" applyFill="1" applyBorder="1" applyAlignment="1">
      <alignment vertical="center"/>
    </xf>
    <xf numFmtId="164" fontId="16" fillId="0" borderId="0" xfId="0" applyNumberFormat="1" applyFont="1" applyFill="1" applyBorder="1" applyAlignment="1">
      <alignment vertical="center"/>
    </xf>
    <xf numFmtId="164" fontId="16" fillId="0" borderId="0" xfId="21" applyNumberFormat="1" applyFont="1" applyFill="1" applyBorder="1" applyAlignment="1">
      <alignment vertical="center"/>
    </xf>
    <xf numFmtId="10" fontId="16" fillId="0" borderId="0" xfId="22" applyNumberFormat="1" applyFont="1" applyFill="1" applyBorder="1" applyAlignment="1">
      <alignment vertical="center"/>
    </xf>
    <xf numFmtId="0" fontId="16" fillId="2" borderId="0" xfId="0" applyFont="1" applyFill="1" applyBorder="1"/>
    <xf numFmtId="0" fontId="34" fillId="2" borderId="0" xfId="0" applyFont="1" applyFill="1" applyAlignment="1">
      <alignment vertical="top"/>
    </xf>
    <xf numFmtId="0" fontId="35" fillId="2" borderId="0" xfId="0" applyFont="1" applyFill="1"/>
    <xf numFmtId="0" fontId="34" fillId="2" borderId="0" xfId="0" applyFont="1" applyFill="1" applyAlignment="1">
      <alignment horizontal="left" vertical="top" wrapText="1"/>
    </xf>
    <xf numFmtId="0" fontId="34" fillId="2" borderId="0" xfId="0" applyFont="1" applyFill="1" applyAlignment="1">
      <alignment vertical="top" wrapText="1"/>
    </xf>
    <xf numFmtId="0" fontId="9" fillId="0" borderId="5" xfId="0" applyFont="1" applyFill="1" applyBorder="1" applyAlignment="1">
      <alignment horizontal="left" wrapText="1"/>
    </xf>
    <xf numFmtId="0" fontId="9" fillId="0" borderId="0" xfId="18" applyFont="1" applyFill="1" applyBorder="1" applyAlignment="1">
      <alignment horizontal="left" vertical="center" wrapText="1"/>
    </xf>
    <xf numFmtId="174" fontId="9" fillId="0" borderId="0" xfId="0" applyNumberFormat="1" applyFont="1" applyFill="1" applyBorder="1" applyAlignment="1">
      <alignment vertical="center"/>
    </xf>
    <xf numFmtId="0" fontId="9" fillId="0" borderId="3" xfId="0" applyFont="1" applyFill="1" applyBorder="1" applyAlignment="1">
      <alignment horizontal="left"/>
    </xf>
    <xf numFmtId="0" fontId="5" fillId="0" borderId="3" xfId="0" applyFont="1" applyFill="1" applyBorder="1"/>
    <xf numFmtId="166" fontId="5" fillId="4" borderId="0" xfId="17" applyNumberFormat="1" applyFont="1" applyFill="1" applyBorder="1" applyAlignment="1">
      <alignment horizontal="right"/>
    </xf>
    <xf numFmtId="166" fontId="5" fillId="4" borderId="4" xfId="17" applyNumberFormat="1" applyFont="1" applyFill="1" applyBorder="1" applyAlignment="1">
      <alignment horizontal="right"/>
    </xf>
    <xf numFmtId="166" fontId="5" fillId="0" borderId="0" xfId="0" applyNumberFormat="1" applyFont="1" applyFill="1" applyBorder="1"/>
    <xf numFmtId="164" fontId="0" fillId="0" borderId="0" xfId="0" applyNumberFormat="1"/>
    <xf numFmtId="176" fontId="5" fillId="0" borderId="0" xfId="17" applyNumberFormat="1" applyFont="1" applyFill="1" applyBorder="1"/>
    <xf numFmtId="0" fontId="39" fillId="0" borderId="0" xfId="0" applyFont="1" applyAlignment="1">
      <alignment vertical="center"/>
    </xf>
    <xf numFmtId="0" fontId="0" fillId="2" borderId="0" xfId="0" applyFill="1"/>
    <xf numFmtId="0" fontId="9" fillId="2" borderId="0" xfId="0" applyFont="1" applyFill="1" applyBorder="1" applyAlignment="1">
      <alignment horizontal="right"/>
    </xf>
    <xf numFmtId="0" fontId="34" fillId="0" borderId="0" xfId="0" applyFont="1" applyFill="1" applyAlignment="1">
      <alignment vertical="center" wrapText="1"/>
    </xf>
    <xf numFmtId="0" fontId="0" fillId="0" borderId="0" xfId="0" applyAlignment="1">
      <alignment vertical="center" wrapText="1"/>
    </xf>
    <xf numFmtId="0" fontId="16" fillId="0" borderId="0" xfId="5" applyFont="1" applyFill="1" applyBorder="1" applyAlignment="1">
      <alignment horizontal="left" vertical="center"/>
    </xf>
    <xf numFmtId="0" fontId="9" fillId="2" borderId="1" xfId="8" applyFont="1" applyFill="1" applyBorder="1" applyAlignment="1">
      <alignment horizontal="right" wrapText="1"/>
    </xf>
    <xf numFmtId="0" fontId="9" fillId="0" borderId="1" xfId="0" applyFont="1" applyFill="1" applyBorder="1" applyAlignment="1" applyProtection="1">
      <alignment horizontal="right"/>
      <protection locked="0"/>
    </xf>
    <xf numFmtId="0" fontId="34" fillId="0" borderId="0" xfId="0" applyFont="1" applyFill="1" applyAlignment="1">
      <alignment horizontal="left" vertical="center"/>
    </xf>
    <xf numFmtId="0" fontId="10" fillId="2" borderId="0" xfId="0" applyFont="1" applyFill="1" applyBorder="1" applyAlignment="1">
      <alignment vertical="center" wrapText="1"/>
    </xf>
    <xf numFmtId="0" fontId="9" fillId="2" borderId="0" xfId="0" applyFont="1" applyFill="1" applyBorder="1" applyAlignment="1">
      <alignment vertical="center" wrapText="1"/>
    </xf>
    <xf numFmtId="168" fontId="5" fillId="2" borderId="0" xfId="22" applyNumberFormat="1" applyFont="1" applyFill="1" applyBorder="1" applyAlignment="1">
      <alignment vertical="center"/>
    </xf>
    <xf numFmtId="168" fontId="9" fillId="2" borderId="0" xfId="22" applyNumberFormat="1" applyFont="1" applyFill="1" applyBorder="1" applyAlignment="1">
      <alignment vertical="center"/>
    </xf>
    <xf numFmtId="172" fontId="5" fillId="0" borderId="0" xfId="0" applyNumberFormat="1" applyFont="1" applyFill="1" applyBorder="1" applyAlignment="1">
      <alignment horizontal="right" vertical="center" wrapText="1"/>
    </xf>
    <xf numFmtId="0" fontId="36" fillId="2" borderId="0" xfId="3" applyFont="1" applyFill="1" applyAlignment="1" applyProtection="1">
      <alignment vertical="center" wrapText="1"/>
    </xf>
    <xf numFmtId="0" fontId="24" fillId="0" borderId="0" xfId="0" applyFont="1"/>
    <xf numFmtId="0" fontId="40" fillId="0" borderId="0" xfId="3" applyFont="1" applyFill="1" applyBorder="1" applyAlignment="1" applyProtection="1"/>
    <xf numFmtId="0" fontId="40" fillId="0" borderId="0" xfId="3" applyFont="1" applyFill="1" applyBorder="1" applyAlignment="1" applyProtection="1">
      <alignment horizontal="center"/>
    </xf>
    <xf numFmtId="0" fontId="40" fillId="0" borderId="0" xfId="3" applyFont="1" applyAlignment="1" applyProtection="1"/>
    <xf numFmtId="0" fontId="41" fillId="0" borderId="0" xfId="0" applyFont="1" applyFill="1" applyBorder="1" applyAlignment="1">
      <alignment vertical="center" wrapText="1"/>
    </xf>
    <xf numFmtId="0" fontId="41" fillId="0" borderId="0" xfId="0" applyFont="1" applyFill="1" applyBorder="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166" fontId="25" fillId="0" borderId="0" xfId="0" applyNumberFormat="1" applyFont="1"/>
    <xf numFmtId="0" fontId="0" fillId="0" borderId="0" xfId="0" applyAlignment="1">
      <alignment horizontal="left" indent="1"/>
    </xf>
    <xf numFmtId="0" fontId="9" fillId="2" borderId="10" xfId="0" applyFont="1" applyFill="1" applyBorder="1" applyAlignment="1">
      <alignment horizontal="right"/>
    </xf>
    <xf numFmtId="0" fontId="9" fillId="2" borderId="11" xfId="0" applyNumberFormat="1" applyFont="1" applyFill="1" applyBorder="1"/>
    <xf numFmtId="164" fontId="5" fillId="0" borderId="0" xfId="0" applyNumberFormat="1" applyFont="1" applyFill="1" applyAlignment="1">
      <alignment horizontal="right"/>
    </xf>
    <xf numFmtId="0" fontId="5" fillId="0" borderId="6" xfId="5" applyNumberFormat="1" applyFont="1" applyFill="1" applyBorder="1" applyAlignment="1">
      <alignment horizontal="left"/>
    </xf>
    <xf numFmtId="0" fontId="5" fillId="0" borderId="0" xfId="5" applyNumberFormat="1" applyFont="1" applyFill="1" applyBorder="1" applyAlignment="1">
      <alignment horizontal="left"/>
    </xf>
    <xf numFmtId="0" fontId="5" fillId="0" borderId="2" xfId="5" applyFont="1" applyFill="1" applyBorder="1" applyAlignment="1">
      <alignment horizontal="left" wrapText="1"/>
    </xf>
    <xf numFmtId="0" fontId="5" fillId="0" borderId="0" xfId="5" applyFont="1" applyFill="1" applyBorder="1" applyAlignment="1">
      <alignment horizontal="left" vertical="center" wrapText="1"/>
    </xf>
    <xf numFmtId="0" fontId="5" fillId="0" borderId="6" xfId="5" applyFont="1" applyFill="1" applyBorder="1" applyAlignment="1">
      <alignment horizontal="left"/>
    </xf>
    <xf numFmtId="0" fontId="9" fillId="0" borderId="6" xfId="5" applyFont="1" applyFill="1" applyBorder="1" applyAlignment="1">
      <alignment horizontal="left"/>
    </xf>
    <xf numFmtId="4" fontId="5" fillId="2" borderId="0" xfId="0" applyNumberFormat="1" applyFont="1" applyFill="1" applyBorder="1" applyAlignment="1">
      <alignment horizontal="right"/>
    </xf>
    <xf numFmtId="4" fontId="9" fillId="2" borderId="0" xfId="0" applyNumberFormat="1" applyFont="1" applyFill="1" applyBorder="1" applyAlignment="1">
      <alignment horizontal="right"/>
    </xf>
    <xf numFmtId="0" fontId="42" fillId="0" borderId="0" xfId="0" applyFont="1"/>
    <xf numFmtId="164" fontId="9" fillId="2" borderId="2" xfId="9" applyNumberFormat="1" applyFont="1" applyFill="1" applyBorder="1" applyAlignment="1">
      <alignment horizontal="right" wrapText="1"/>
    </xf>
    <xf numFmtId="172" fontId="0" fillId="0" borderId="0" xfId="0" applyNumberFormat="1"/>
    <xf numFmtId="0" fontId="9" fillId="2" borderId="1" xfId="0" applyFont="1" applyFill="1" applyBorder="1" applyAlignment="1">
      <alignment horizontal="left"/>
    </xf>
    <xf numFmtId="0" fontId="9" fillId="2" borderId="14" xfId="0" applyNumberFormat="1" applyFont="1" applyFill="1" applyBorder="1"/>
    <xf numFmtId="1" fontId="10" fillId="2" borderId="11" xfId="0" applyNumberFormat="1" applyFont="1" applyFill="1" applyBorder="1" applyAlignment="1">
      <alignment horizontal="right"/>
    </xf>
    <xf numFmtId="1" fontId="10" fillId="2" borderId="14" xfId="0" applyNumberFormat="1" applyFont="1" applyFill="1" applyBorder="1" applyAlignment="1">
      <alignment horizontal="right"/>
    </xf>
    <xf numFmtId="167" fontId="5" fillId="2" borderId="0" xfId="17" applyNumberFormat="1" applyFont="1" applyFill="1" applyBorder="1"/>
    <xf numFmtId="0" fontId="14" fillId="0" borderId="12" xfId="0" applyFont="1" applyFill="1" applyBorder="1" applyAlignment="1">
      <alignment horizontal="right" wrapText="1"/>
    </xf>
    <xf numFmtId="164" fontId="5" fillId="0" borderId="11" xfId="0" applyNumberFormat="1" applyFont="1" applyFill="1" applyBorder="1"/>
    <xf numFmtId="164" fontId="14" fillId="0" borderId="13" xfId="0" applyNumberFormat="1" applyFont="1" applyFill="1" applyBorder="1" applyAlignment="1">
      <alignment vertical="center"/>
    </xf>
    <xf numFmtId="0" fontId="9" fillId="2" borderId="1" xfId="5" applyFont="1" applyFill="1" applyBorder="1" applyAlignment="1">
      <alignment horizontal="left"/>
    </xf>
    <xf numFmtId="0" fontId="9" fillId="2" borderId="1" xfId="5" applyFont="1" applyFill="1" applyBorder="1" applyAlignment="1">
      <alignment horizontal="right" wrapText="1"/>
    </xf>
    <xf numFmtId="0" fontId="9" fillId="2" borderId="1" xfId="18" applyFont="1" applyFill="1" applyBorder="1" applyAlignment="1">
      <alignment horizontal="right"/>
    </xf>
    <xf numFmtId="0" fontId="9" fillId="2" borderId="0" xfId="5" applyFont="1" applyFill="1" applyBorder="1" applyAlignment="1"/>
    <xf numFmtId="171" fontId="5" fillId="2" borderId="0" xfId="21" quotePrefix="1" applyNumberFormat="1" applyFont="1" applyFill="1" applyBorder="1" applyAlignment="1">
      <alignment horizontal="right"/>
    </xf>
    <xf numFmtId="166" fontId="9" fillId="2" borderId="0" xfId="21" applyNumberFormat="1" applyFont="1" applyFill="1" applyBorder="1"/>
    <xf numFmtId="166" fontId="9" fillId="2" borderId="4" xfId="21" applyNumberFormat="1" applyFont="1" applyFill="1" applyBorder="1" applyAlignment="1">
      <alignment vertical="center"/>
    </xf>
    <xf numFmtId="0" fontId="34" fillId="2" borderId="0" xfId="18" applyFont="1" applyFill="1"/>
    <xf numFmtId="0" fontId="9" fillId="0" borderId="1" xfId="5" applyFont="1" applyFill="1" applyBorder="1" applyAlignment="1">
      <alignment horizontal="left"/>
    </xf>
    <xf numFmtId="0" fontId="9" fillId="0" borderId="0" xfId="5" applyFont="1" applyFill="1" applyBorder="1" applyAlignment="1"/>
    <xf numFmtId="9" fontId="5" fillId="0" borderId="0" xfId="22" quotePrefix="1" applyFont="1" applyFill="1" applyBorder="1" applyAlignment="1">
      <alignment horizontal="right"/>
    </xf>
    <xf numFmtId="9" fontId="9" fillId="0" borderId="0" xfId="22" applyFont="1" applyFill="1" applyBorder="1"/>
    <xf numFmtId="0" fontId="9" fillId="0" borderId="4" xfId="18" applyFont="1" applyFill="1" applyBorder="1" applyAlignment="1">
      <alignment vertical="center"/>
    </xf>
    <xf numFmtId="9" fontId="9" fillId="0" borderId="4" xfId="22" applyFont="1" applyFill="1" applyBorder="1" applyAlignment="1">
      <alignment vertical="center"/>
    </xf>
    <xf numFmtId="3" fontId="9" fillId="0" borderId="16" xfId="0" applyNumberFormat="1" applyFont="1" applyFill="1" applyBorder="1" applyAlignment="1">
      <alignment horizontal="right" wrapText="1"/>
    </xf>
    <xf numFmtId="3" fontId="9" fillId="0" borderId="15" xfId="0" applyNumberFormat="1" applyFont="1" applyFill="1" applyBorder="1" applyAlignment="1">
      <alignment vertical="center"/>
    </xf>
    <xf numFmtId="173" fontId="5" fillId="0" borderId="0" xfId="0" applyNumberFormat="1" applyFont="1" applyFill="1" applyBorder="1" applyAlignment="1">
      <alignment vertical="center"/>
    </xf>
    <xf numFmtId="0" fontId="0" fillId="0" borderId="0" xfId="0" applyFont="1" applyAlignment="1">
      <alignment horizontal="left" wrapText="1"/>
    </xf>
    <xf numFmtId="0" fontId="0" fillId="0" borderId="0" xfId="0" applyAlignment="1">
      <alignment horizontal="left" wrapText="1"/>
    </xf>
    <xf numFmtId="0" fontId="8" fillId="2" borderId="0" xfId="0" applyFont="1" applyFill="1" applyAlignment="1">
      <alignment horizontal="left" vertical="center" wrapText="1"/>
    </xf>
    <xf numFmtId="0" fontId="19" fillId="2" borderId="10" xfId="0" applyFont="1" applyFill="1" applyBorder="1" applyAlignment="1">
      <alignment horizontal="right" wrapText="1"/>
    </xf>
    <xf numFmtId="0" fontId="9" fillId="2" borderId="11" xfId="0" applyFont="1" applyFill="1" applyBorder="1" applyAlignment="1"/>
    <xf numFmtId="0" fontId="19" fillId="2" borderId="17" xfId="0" applyFont="1" applyFill="1" applyBorder="1" applyAlignment="1">
      <alignment horizontal="right" wrapText="1"/>
    </xf>
    <xf numFmtId="0" fontId="19" fillId="2" borderId="0" xfId="0" applyFont="1" applyFill="1" applyBorder="1" applyAlignment="1">
      <alignment horizontal="right" vertical="center" wrapText="1"/>
    </xf>
    <xf numFmtId="0" fontId="34" fillId="2" borderId="0" xfId="0" applyFont="1" applyFill="1" applyAlignment="1">
      <alignment horizontal="left" vertical="top" wrapText="1"/>
    </xf>
    <xf numFmtId="0" fontId="8" fillId="2" borderId="0" xfId="0" applyFont="1" applyFill="1" applyAlignment="1">
      <alignment horizontal="left" vertical="top" wrapText="1"/>
    </xf>
    <xf numFmtId="0" fontId="36" fillId="2" borderId="0" xfId="3" applyFont="1" applyFill="1" applyAlignment="1" applyProtection="1">
      <alignment horizontal="left" vertical="center" wrapText="1"/>
    </xf>
    <xf numFmtId="4" fontId="5" fillId="2" borderId="0" xfId="0" applyNumberFormat="1" applyFont="1" applyFill="1" applyBorder="1"/>
    <xf numFmtId="177" fontId="0" fillId="0" borderId="0" xfId="0" applyNumberFormat="1"/>
    <xf numFmtId="168" fontId="0" fillId="0" borderId="0" xfId="0" applyNumberFormat="1"/>
    <xf numFmtId="168" fontId="0" fillId="0" borderId="0" xfId="0" applyNumberFormat="1" applyFill="1"/>
    <xf numFmtId="169" fontId="5" fillId="0" borderId="2" xfId="0" applyNumberFormat="1" applyFont="1" applyFill="1" applyBorder="1"/>
    <xf numFmtId="0" fontId="8" fillId="0" borderId="0" xfId="0" applyFont="1" applyFill="1" applyAlignment="1">
      <alignment horizontal="left" vertical="center"/>
    </xf>
    <xf numFmtId="0" fontId="34" fillId="0" borderId="0" xfId="0" applyFont="1" applyFill="1" applyAlignment="1">
      <alignment horizontal="left" vertical="top" wrapText="1"/>
    </xf>
    <xf numFmtId="0" fontId="8" fillId="0" borderId="0" xfId="0" applyFont="1" applyFill="1" applyAlignment="1">
      <alignment horizontal="left" vertical="center" wrapText="1"/>
    </xf>
    <xf numFmtId="0" fontId="8" fillId="0" borderId="0" xfId="0" applyFont="1" applyFill="1" applyBorder="1" applyAlignment="1">
      <alignment horizontal="left" vertical="center" wrapText="1"/>
    </xf>
    <xf numFmtId="0" fontId="8" fillId="0" borderId="0" xfId="0" applyFont="1" applyFill="1" applyBorder="1" applyAlignment="1">
      <alignment horizontal="left" vertical="top" wrapText="1"/>
    </xf>
    <xf numFmtId="0" fontId="34" fillId="0" borderId="0" xfId="0" applyFont="1" applyFill="1" applyAlignment="1">
      <alignment horizontal="left" vertical="center" wrapText="1"/>
    </xf>
    <xf numFmtId="0" fontId="34" fillId="0" borderId="0" xfId="5" applyFont="1" applyFill="1" applyBorder="1" applyAlignment="1">
      <alignment horizontal="left" vertical="top" wrapText="1"/>
    </xf>
    <xf numFmtId="0" fontId="9" fillId="0" borderId="5" xfId="0" applyFont="1" applyFill="1" applyBorder="1" applyAlignment="1">
      <alignment horizontal="center" vertical="center" wrapText="1"/>
    </xf>
    <xf numFmtId="0" fontId="8" fillId="2" borderId="0" xfId="8" applyFont="1" applyFill="1" applyAlignment="1">
      <alignment horizontal="left" vertical="top" wrapText="1"/>
    </xf>
    <xf numFmtId="0" fontId="8" fillId="2" borderId="0" xfId="0" applyFont="1" applyFill="1" applyAlignment="1">
      <alignment horizontal="left" vertical="top" wrapText="1"/>
    </xf>
    <xf numFmtId="0" fontId="8" fillId="2" borderId="0" xfId="0" applyFont="1" applyFill="1" applyBorder="1" applyAlignment="1">
      <alignment horizontal="left" vertical="center"/>
    </xf>
    <xf numFmtId="0" fontId="9" fillId="2" borderId="0" xfId="0" applyFont="1" applyFill="1" applyBorder="1" applyAlignment="1">
      <alignment horizontal="center" wrapText="1"/>
    </xf>
    <xf numFmtId="0" fontId="9" fillId="2" borderId="1" xfId="0" applyFont="1" applyFill="1" applyBorder="1" applyAlignment="1">
      <alignment horizontal="center" wrapText="1"/>
    </xf>
    <xf numFmtId="0" fontId="0" fillId="2" borderId="0" xfId="0" applyFill="1" applyAlignment="1">
      <alignment horizontal="left" wrapText="1"/>
    </xf>
    <xf numFmtId="0" fontId="8" fillId="2" borderId="0" xfId="0" applyFont="1" applyFill="1" applyBorder="1" applyAlignment="1">
      <alignment horizontal="left" vertical="center" wrapText="1"/>
    </xf>
    <xf numFmtId="0" fontId="8" fillId="2" borderId="0" xfId="0" applyFont="1" applyFill="1" applyBorder="1" applyAlignment="1">
      <alignment horizontal="left" vertical="top" wrapText="1"/>
    </xf>
    <xf numFmtId="0" fontId="9" fillId="0" borderId="1" xfId="0" applyFont="1" applyFill="1" applyBorder="1" applyAlignment="1">
      <alignment horizontal="center" wrapText="1"/>
    </xf>
    <xf numFmtId="0" fontId="34" fillId="0" borderId="0" xfId="0" applyFont="1" applyFill="1" applyBorder="1" applyAlignment="1">
      <alignment horizontal="left" vertical="top" wrapText="1"/>
    </xf>
    <xf numFmtId="0" fontId="10" fillId="0" borderId="0" xfId="0" applyFont="1" applyFill="1" applyBorder="1" applyAlignment="1">
      <alignment wrapText="1"/>
    </xf>
    <xf numFmtId="168" fontId="11" fillId="0" borderId="0" xfId="22" applyNumberFormat="1" applyFont="1" applyFill="1" applyBorder="1" applyAlignment="1">
      <alignment horizontal="right" wrapText="1"/>
    </xf>
    <xf numFmtId="0" fontId="44" fillId="0" borderId="1" xfId="0" applyFont="1" applyFill="1" applyBorder="1" applyAlignment="1">
      <alignment wrapText="1"/>
    </xf>
    <xf numFmtId="0" fontId="45" fillId="0" borderId="1" xfId="0" applyFont="1" applyFill="1" applyBorder="1" applyAlignment="1">
      <alignment wrapText="1"/>
    </xf>
    <xf numFmtId="0" fontId="25" fillId="0" borderId="1" xfId="0" applyFont="1" applyBorder="1" applyAlignment="1">
      <alignment horizontal="right"/>
    </xf>
    <xf numFmtId="164" fontId="9" fillId="6" borderId="4" xfId="5" applyNumberFormat="1" applyFont="1" applyFill="1" applyBorder="1" applyAlignment="1">
      <alignment horizontal="right" vertical="center" wrapText="1"/>
    </xf>
    <xf numFmtId="164" fontId="5" fillId="6" borderId="0" xfId="6" applyNumberFormat="1" applyFont="1" applyFill="1" applyBorder="1" applyAlignment="1"/>
    <xf numFmtId="169" fontId="5" fillId="6" borderId="0" xfId="5" applyNumberFormat="1" applyFont="1" applyFill="1" applyBorder="1" applyAlignment="1">
      <alignment horizontal="right" wrapText="1"/>
    </xf>
    <xf numFmtId="169" fontId="5" fillId="6" borderId="2" xfId="5" applyNumberFormat="1" applyFont="1" applyFill="1" applyBorder="1" applyAlignment="1">
      <alignment horizontal="right" wrapText="1"/>
    </xf>
    <xf numFmtId="164" fontId="5" fillId="6" borderId="2" xfId="0" applyNumberFormat="1" applyFont="1" applyFill="1" applyBorder="1" applyAlignment="1">
      <alignment vertical="center"/>
    </xf>
    <xf numFmtId="164" fontId="5" fillId="6" borderId="2" xfId="6" applyNumberFormat="1" applyFont="1" applyFill="1" applyBorder="1" applyAlignment="1"/>
    <xf numFmtId="164" fontId="5" fillId="6" borderId="0" xfId="0" applyNumberFormat="1" applyFont="1" applyFill="1" applyAlignment="1">
      <alignment vertical="center"/>
    </xf>
    <xf numFmtId="166" fontId="5" fillId="0" borderId="1" xfId="21" applyNumberFormat="1" applyFont="1" applyFill="1" applyBorder="1"/>
    <xf numFmtId="166" fontId="25" fillId="0" borderId="1" xfId="0" applyNumberFormat="1" applyFont="1" applyBorder="1"/>
    <xf numFmtId="170" fontId="5" fillId="6" borderId="2" xfId="6" applyNumberFormat="1" applyFont="1" applyFill="1" applyBorder="1" applyAlignment="1"/>
    <xf numFmtId="170" fontId="5" fillId="6" borderId="0" xfId="6" applyNumberFormat="1" applyFont="1" applyFill="1" applyBorder="1" applyAlignment="1"/>
    <xf numFmtId="164" fontId="9" fillId="6" borderId="4" xfId="0" applyNumberFormat="1" applyFont="1" applyFill="1" applyBorder="1" applyAlignment="1">
      <alignment horizontal="right" vertical="center"/>
    </xf>
    <xf numFmtId="3" fontId="14" fillId="0" borderId="0" xfId="5" applyNumberFormat="1" applyFont="1" applyFill="1" applyBorder="1" applyAlignment="1">
      <alignment horizontal="right" vertical="center" wrapText="1"/>
    </xf>
    <xf numFmtId="0" fontId="8" fillId="0" borderId="0" xfId="0" applyFont="1" applyFill="1" applyAlignment="1">
      <alignment vertical="center" wrapText="1"/>
    </xf>
    <xf numFmtId="0" fontId="8" fillId="0" borderId="0" xfId="0" applyFont="1" applyFill="1" applyAlignment="1">
      <alignment vertical="center"/>
    </xf>
    <xf numFmtId="0" fontId="8" fillId="0" borderId="0" xfId="0" applyFont="1" applyFill="1" applyBorder="1" applyAlignment="1">
      <alignment vertical="center"/>
    </xf>
    <xf numFmtId="0" fontId="14" fillId="0" borderId="0" xfId="5" applyFont="1" applyFill="1" applyBorder="1" applyAlignment="1">
      <alignment horizontal="left" wrapText="1"/>
    </xf>
    <xf numFmtId="0" fontId="43" fillId="0" borderId="0" xfId="0" applyFont="1" applyFill="1" applyAlignment="1">
      <alignment horizontal="left" vertical="center" wrapText="1"/>
    </xf>
    <xf numFmtId="0" fontId="8" fillId="0" borderId="1"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0" fillId="0" borderId="0" xfId="0" applyBorder="1"/>
    <xf numFmtId="166" fontId="25" fillId="0" borderId="0" xfId="0" applyNumberFormat="1" applyFont="1" applyBorder="1"/>
    <xf numFmtId="9" fontId="10" fillId="0" borderId="3" xfId="0" applyNumberFormat="1" applyFont="1" applyFill="1" applyBorder="1" applyAlignment="1">
      <alignment vertical="center"/>
    </xf>
    <xf numFmtId="166" fontId="9" fillId="0" borderId="1" xfId="21" applyNumberFormat="1" applyFont="1" applyFill="1" applyBorder="1"/>
    <xf numFmtId="9" fontId="10" fillId="0" borderId="1" xfId="22" applyFont="1" applyFill="1" applyBorder="1"/>
    <xf numFmtId="1" fontId="16" fillId="0" borderId="0" xfId="5" applyNumberFormat="1" applyFont="1" applyFill="1" applyBorder="1" applyAlignment="1">
      <alignment horizontal="right"/>
    </xf>
    <xf numFmtId="0" fontId="16" fillId="0" borderId="0" xfId="5" applyFont="1" applyFill="1" applyBorder="1" applyAlignment="1">
      <alignment horizontal="right"/>
    </xf>
    <xf numFmtId="1" fontId="16" fillId="0" borderId="0" xfId="0" applyNumberFormat="1" applyFont="1" applyFill="1" applyBorder="1" applyAlignment="1"/>
    <xf numFmtId="0" fontId="0" fillId="0" borderId="0" xfId="0" applyFont="1" applyAlignment="1">
      <alignment horizontal="left"/>
    </xf>
    <xf numFmtId="0" fontId="34" fillId="0" borderId="0" xfId="5" applyFont="1" applyFill="1" applyBorder="1" applyAlignment="1">
      <alignment horizontal="left" vertical="top"/>
    </xf>
    <xf numFmtId="0" fontId="35" fillId="0" borderId="0" xfId="0" applyFont="1" applyFill="1" applyAlignment="1"/>
    <xf numFmtId="0" fontId="34" fillId="0" borderId="0" xfId="0" applyFont="1" applyFill="1" applyAlignment="1">
      <alignment horizontal="left" vertical="top"/>
    </xf>
    <xf numFmtId="0" fontId="8" fillId="0" borderId="0" xfId="0" applyFont="1" applyFill="1" applyBorder="1" applyAlignment="1">
      <alignment horizontal="left" vertical="center"/>
    </xf>
    <xf numFmtId="0" fontId="0" fillId="0" borderId="0" xfId="0" applyAlignment="1"/>
    <xf numFmtId="0" fontId="14" fillId="0" borderId="0" xfId="0" applyFont="1" applyFill="1" applyBorder="1" applyAlignment="1">
      <alignment vertical="top"/>
    </xf>
    <xf numFmtId="164" fontId="5" fillId="0" borderId="1" xfId="0" applyNumberFormat="1" applyFont="1" applyFill="1" applyBorder="1"/>
    <xf numFmtId="164" fontId="5" fillId="6" borderId="0" xfId="0" applyNumberFormat="1" applyFont="1" applyFill="1"/>
    <xf numFmtId="171" fontId="9" fillId="6" borderId="4" xfId="21" applyNumberFormat="1" applyFont="1" applyFill="1" applyBorder="1" applyAlignment="1">
      <alignment vertical="center"/>
    </xf>
    <xf numFmtId="0" fontId="0" fillId="0" borderId="4" xfId="0" applyBorder="1"/>
    <xf numFmtId="170" fontId="9" fillId="6" borderId="0" xfId="6" applyNumberFormat="1" applyFont="1" applyFill="1" applyBorder="1" applyAlignment="1"/>
    <xf numFmtId="171" fontId="9" fillId="6" borderId="4" xfId="0" applyNumberFormat="1" applyFont="1" applyFill="1" applyBorder="1" applyAlignment="1">
      <alignment vertical="center"/>
    </xf>
    <xf numFmtId="0" fontId="9" fillId="0" borderId="0" xfId="5" applyNumberFormat="1" applyFont="1" applyFill="1" applyBorder="1" applyAlignment="1">
      <alignment horizontal="left" vertical="center"/>
    </xf>
    <xf numFmtId="166" fontId="9" fillId="0" borderId="0" xfId="0" applyNumberFormat="1" applyFont="1" applyFill="1" applyBorder="1" applyAlignment="1">
      <alignment vertical="center"/>
    </xf>
    <xf numFmtId="0" fontId="0" fillId="0" borderId="0" xfId="0" applyAlignment="1">
      <alignment horizontal="left" vertical="center"/>
    </xf>
    <xf numFmtId="0" fontId="8" fillId="0" borderId="0" xfId="0" applyFont="1" applyFill="1" applyBorder="1" applyAlignment="1">
      <alignment horizontal="left" vertical="top"/>
    </xf>
    <xf numFmtId="0" fontId="0" fillId="0" borderId="0" xfId="0" applyAlignment="1">
      <alignment wrapText="1"/>
    </xf>
    <xf numFmtId="3" fontId="16" fillId="0" borderId="0" xfId="0" applyNumberFormat="1" applyFont="1" applyFill="1" applyAlignment="1"/>
    <xf numFmtId="1" fontId="9" fillId="0" borderId="0" xfId="5" applyNumberFormat="1" applyFont="1" applyFill="1" applyBorder="1" applyAlignment="1">
      <alignment horizontal="right"/>
    </xf>
    <xf numFmtId="0" fontId="9" fillId="0" borderId="0" xfId="5" applyFont="1" applyFill="1" applyBorder="1" applyAlignment="1">
      <alignment horizontal="right"/>
    </xf>
    <xf numFmtId="1" fontId="9" fillId="0" borderId="0" xfId="0" applyNumberFormat="1" applyFont="1" applyFill="1" applyBorder="1" applyAlignment="1"/>
    <xf numFmtId="0" fontId="5" fillId="0" borderId="0" xfId="0" applyFont="1" applyFill="1" applyAlignment="1">
      <alignment horizontal="left"/>
    </xf>
    <xf numFmtId="0" fontId="39" fillId="0" borderId="0" xfId="0" applyFont="1" applyAlignment="1">
      <alignment horizontal="left" vertical="center"/>
    </xf>
    <xf numFmtId="0" fontId="34" fillId="0" borderId="0" xfId="0" applyFont="1" applyFill="1" applyAlignment="1">
      <alignment horizontal="left"/>
    </xf>
    <xf numFmtId="0" fontId="14" fillId="0" borderId="0" xfId="0" applyFont="1" applyFill="1" applyBorder="1" applyAlignment="1">
      <alignment horizontal="left" vertical="top"/>
    </xf>
    <xf numFmtId="0" fontId="9" fillId="0" borderId="22" xfId="0" applyFont="1" applyFill="1" applyBorder="1" applyAlignment="1">
      <alignment horizontal="right" vertical="center"/>
    </xf>
    <xf numFmtId="3" fontId="9" fillId="0" borderId="21" xfId="0" applyNumberFormat="1" applyFont="1" applyFill="1" applyBorder="1" applyAlignment="1">
      <alignment horizontal="right"/>
    </xf>
    <xf numFmtId="3" fontId="9" fillId="0" borderId="11" xfId="0" applyNumberFormat="1" applyFont="1" applyFill="1" applyBorder="1" applyAlignment="1">
      <alignment horizontal="right"/>
    </xf>
    <xf numFmtId="3" fontId="9" fillId="0" borderId="12" xfId="0" applyNumberFormat="1" applyFont="1" applyFill="1" applyBorder="1" applyAlignment="1">
      <alignment horizontal="right"/>
    </xf>
    <xf numFmtId="168" fontId="11" fillId="0" borderId="21" xfId="2" applyNumberFormat="1" applyFont="1" applyFill="1" applyBorder="1" applyAlignment="1">
      <alignment horizontal="right"/>
    </xf>
    <xf numFmtId="168" fontId="11" fillId="0" borderId="11" xfId="2" applyNumberFormat="1" applyFont="1" applyFill="1" applyBorder="1" applyAlignment="1">
      <alignment horizontal="right"/>
    </xf>
    <xf numFmtId="168" fontId="11" fillId="0" borderId="12" xfId="2" applyNumberFormat="1" applyFont="1" applyFill="1" applyBorder="1" applyAlignment="1">
      <alignment horizontal="right"/>
    </xf>
    <xf numFmtId="0" fontId="9" fillId="0" borderId="5" xfId="0" applyFont="1" applyFill="1" applyBorder="1" applyAlignment="1">
      <alignment horizontal="center" vertical="center"/>
    </xf>
    <xf numFmtId="0" fontId="9" fillId="0" borderId="5" xfId="0" applyFont="1" applyFill="1" applyBorder="1" applyAlignment="1">
      <alignment horizontal="center"/>
    </xf>
    <xf numFmtId="3" fontId="5" fillId="0" borderId="21" xfId="0" applyNumberFormat="1" applyFont="1" applyFill="1" applyBorder="1"/>
    <xf numFmtId="168" fontId="11" fillId="0" borderId="14" xfId="2" applyNumberFormat="1" applyFont="1" applyFill="1" applyBorder="1" applyAlignment="1">
      <alignment horizontal="right" wrapText="1"/>
    </xf>
    <xf numFmtId="3" fontId="9" fillId="0" borderId="20" xfId="0" applyNumberFormat="1" applyFont="1" applyFill="1" applyBorder="1" applyAlignment="1">
      <alignment horizontal="right"/>
    </xf>
    <xf numFmtId="3" fontId="9" fillId="0" borderId="18" xfId="0" applyNumberFormat="1" applyFont="1" applyFill="1" applyBorder="1" applyAlignment="1">
      <alignment horizontal="right"/>
    </xf>
    <xf numFmtId="3" fontId="9" fillId="0" borderId="23" xfId="0" applyNumberFormat="1" applyFont="1" applyFill="1" applyBorder="1" applyAlignment="1">
      <alignment horizontal="right"/>
    </xf>
    <xf numFmtId="168" fontId="11" fillId="0" borderId="20" xfId="2" applyNumberFormat="1" applyFont="1" applyFill="1" applyBorder="1" applyAlignment="1">
      <alignment horizontal="right"/>
    </xf>
    <xf numFmtId="168" fontId="11" fillId="0" borderId="18" xfId="2" applyNumberFormat="1" applyFont="1" applyFill="1" applyBorder="1" applyAlignment="1">
      <alignment horizontal="right"/>
    </xf>
    <xf numFmtId="168" fontId="11" fillId="0" borderId="23" xfId="2" applyNumberFormat="1" applyFont="1" applyFill="1" applyBorder="1" applyAlignment="1">
      <alignment horizontal="right"/>
    </xf>
    <xf numFmtId="3" fontId="5" fillId="0" borderId="20" xfId="0" applyNumberFormat="1" applyFont="1" applyFill="1" applyBorder="1"/>
    <xf numFmtId="168" fontId="11" fillId="0" borderId="19" xfId="2" applyNumberFormat="1" applyFont="1" applyFill="1" applyBorder="1" applyAlignment="1">
      <alignment horizontal="right" wrapText="1"/>
    </xf>
    <xf numFmtId="0" fontId="14" fillId="2" borderId="1" xfId="7" applyFont="1" applyFill="1" applyBorder="1" applyAlignment="1">
      <alignment horizontal="left"/>
    </xf>
    <xf numFmtId="1" fontId="25" fillId="2" borderId="0" xfId="0" applyNumberFormat="1" applyFont="1" applyFill="1"/>
    <xf numFmtId="1" fontId="25" fillId="2" borderId="2" xfId="0" applyNumberFormat="1" applyFont="1" applyFill="1" applyBorder="1"/>
    <xf numFmtId="0" fontId="9" fillId="2" borderId="5" xfId="0" applyFont="1" applyFill="1" applyBorder="1" applyAlignment="1">
      <alignment horizontal="right"/>
    </xf>
    <xf numFmtId="172" fontId="9" fillId="2" borderId="5" xfId="0" applyNumberFormat="1" applyFont="1" applyFill="1" applyBorder="1" applyAlignment="1">
      <alignment horizontal="right"/>
    </xf>
    <xf numFmtId="0" fontId="9" fillId="0" borderId="11" xfId="0" applyFont="1" applyFill="1" applyBorder="1" applyAlignment="1">
      <alignment horizontal="right" vertical="center"/>
    </xf>
    <xf numFmtId="164" fontId="9" fillId="0" borderId="13" xfId="0" applyNumberFormat="1" applyFont="1" applyFill="1" applyBorder="1"/>
    <xf numFmtId="164" fontId="9" fillId="0" borderId="11" xfId="0" applyNumberFormat="1" applyFont="1" applyFill="1" applyBorder="1"/>
    <xf numFmtId="164" fontId="5" fillId="0" borderId="2" xfId="0" applyNumberFormat="1" applyFont="1" applyFill="1" applyBorder="1"/>
    <xf numFmtId="164" fontId="9" fillId="0" borderId="21" xfId="0" applyNumberFormat="1" applyFont="1" applyFill="1" applyBorder="1"/>
    <xf numFmtId="0" fontId="9" fillId="2" borderId="10" xfId="10" applyFont="1" applyFill="1" applyBorder="1" applyAlignment="1">
      <alignment horizontal="right" vertical="center" wrapText="1"/>
    </xf>
    <xf numFmtId="168" fontId="11" fillId="2" borderId="11" xfId="2" quotePrefix="1" applyNumberFormat="1" applyFont="1" applyFill="1" applyBorder="1" applyAlignment="1"/>
    <xf numFmtId="168" fontId="11" fillId="2" borderId="13" xfId="2" quotePrefix="1" applyNumberFormat="1" applyFont="1" applyFill="1" applyBorder="1" applyAlignment="1">
      <alignment horizontal="right" vertical="center"/>
    </xf>
    <xf numFmtId="0" fontId="34" fillId="2" borderId="0" xfId="0" applyFont="1" applyFill="1" applyAlignment="1">
      <alignment vertical="center" wrapText="1"/>
    </xf>
    <xf numFmtId="0" fontId="5" fillId="0" borderId="0" xfId="0" applyFont="1" applyFill="1" applyBorder="1" applyAlignment="1">
      <alignment vertical="center" wrapText="1"/>
    </xf>
    <xf numFmtId="0" fontId="9" fillId="2" borderId="10" xfId="0" applyFont="1" applyFill="1" applyBorder="1" applyAlignment="1">
      <alignment horizontal="right" wrapText="1"/>
    </xf>
    <xf numFmtId="0" fontId="9" fillId="2" borderId="17" xfId="0" applyFont="1" applyFill="1" applyBorder="1" applyAlignment="1">
      <alignment horizontal="right" wrapText="1"/>
    </xf>
    <xf numFmtId="0" fontId="11" fillId="2" borderId="21" xfId="22" applyNumberFormat="1" applyFont="1" applyFill="1" applyBorder="1"/>
    <xf numFmtId="172" fontId="11" fillId="2" borderId="2" xfId="0" applyNumberFormat="1" applyFont="1" applyFill="1" applyBorder="1"/>
    <xf numFmtId="172" fontId="11" fillId="2" borderId="20" xfId="0" applyNumberFormat="1" applyFont="1" applyFill="1" applyBorder="1"/>
    <xf numFmtId="172" fontId="11" fillId="2" borderId="11" xfId="0" applyNumberFormat="1" applyFont="1" applyFill="1" applyBorder="1"/>
    <xf numFmtId="172" fontId="11" fillId="2" borderId="18" xfId="0" applyNumberFormat="1" applyFont="1" applyFill="1" applyBorder="1"/>
    <xf numFmtId="172" fontId="11" fillId="2" borderId="11" xfId="0" applyNumberFormat="1" applyFont="1" applyFill="1" applyBorder="1" applyAlignment="1"/>
    <xf numFmtId="172" fontId="11" fillId="2" borderId="18" xfId="0" applyNumberFormat="1" applyFont="1" applyFill="1" applyBorder="1" applyAlignment="1"/>
    <xf numFmtId="172" fontId="11" fillId="2" borderId="12" xfId="0" applyNumberFormat="1" applyFont="1" applyFill="1" applyBorder="1"/>
    <xf numFmtId="172" fontId="11" fillId="2" borderId="1" xfId="0" applyNumberFormat="1" applyFont="1" applyFill="1" applyBorder="1"/>
    <xf numFmtId="172" fontId="11" fillId="2" borderId="23" xfId="0" applyNumberFormat="1" applyFont="1" applyFill="1" applyBorder="1"/>
    <xf numFmtId="172" fontId="11" fillId="2" borderId="21" xfId="0" applyNumberFormat="1" applyFont="1" applyFill="1" applyBorder="1"/>
    <xf numFmtId="172" fontId="11" fillId="2" borderId="21" xfId="0" applyNumberFormat="1" applyFont="1" applyFill="1" applyBorder="1" applyAlignment="1">
      <alignment horizontal="right"/>
    </xf>
    <xf numFmtId="172" fontId="11" fillId="2" borderId="20" xfId="0" applyNumberFormat="1" applyFont="1" applyFill="1" applyBorder="1" applyAlignment="1">
      <alignment horizontal="right"/>
    </xf>
    <xf numFmtId="172" fontId="11" fillId="2" borderId="11" xfId="0" applyNumberFormat="1" applyFont="1" applyFill="1" applyBorder="1" applyAlignment="1">
      <alignment horizontal="right"/>
    </xf>
    <xf numFmtId="172" fontId="11" fillId="2" borderId="18" xfId="0" applyNumberFormat="1" applyFont="1" applyFill="1" applyBorder="1" applyAlignment="1">
      <alignment horizontal="right"/>
    </xf>
    <xf numFmtId="172" fontId="10" fillId="2" borderId="21" xfId="0" applyNumberFormat="1" applyFont="1" applyFill="1" applyBorder="1" applyAlignment="1">
      <alignment horizontal="right"/>
    </xf>
    <xf numFmtId="172" fontId="10" fillId="2" borderId="20" xfId="0" applyNumberFormat="1" applyFont="1" applyFill="1" applyBorder="1" applyAlignment="1">
      <alignment horizontal="right"/>
    </xf>
    <xf numFmtId="172" fontId="10" fillId="2" borderId="11" xfId="0" applyNumberFormat="1" applyFont="1" applyFill="1" applyBorder="1" applyAlignment="1">
      <alignment horizontal="right"/>
    </xf>
    <xf numFmtId="172" fontId="10" fillId="2" borderId="18" xfId="0" applyNumberFormat="1" applyFont="1" applyFill="1" applyBorder="1" applyAlignment="1">
      <alignment horizontal="right"/>
    </xf>
    <xf numFmtId="172" fontId="10" fillId="2" borderId="12" xfId="0" applyNumberFormat="1" applyFont="1" applyFill="1" applyBorder="1" applyAlignment="1">
      <alignment horizontal="right"/>
    </xf>
    <xf numFmtId="172" fontId="10" fillId="2" borderId="1" xfId="0" applyNumberFormat="1" applyFont="1" applyFill="1" applyBorder="1" applyAlignment="1">
      <alignment horizontal="right"/>
    </xf>
    <xf numFmtId="172" fontId="10" fillId="2" borderId="23" xfId="0" applyNumberFormat="1" applyFont="1" applyFill="1" applyBorder="1" applyAlignment="1">
      <alignment horizontal="right"/>
    </xf>
    <xf numFmtId="172" fontId="10" fillId="2" borderId="21" xfId="0" applyNumberFormat="1" applyFont="1" applyFill="1" applyBorder="1"/>
    <xf numFmtId="172" fontId="10" fillId="2" borderId="2" xfId="0" applyNumberFormat="1" applyFont="1" applyFill="1" applyBorder="1"/>
    <xf numFmtId="172" fontId="10" fillId="2" borderId="20" xfId="0" applyNumberFormat="1" applyFont="1" applyFill="1" applyBorder="1"/>
    <xf numFmtId="172" fontId="10" fillId="2" borderId="11" xfId="0" applyNumberFormat="1" applyFont="1" applyFill="1" applyBorder="1"/>
    <xf numFmtId="172" fontId="10" fillId="2" borderId="18" xfId="0" applyNumberFormat="1" applyFont="1" applyFill="1" applyBorder="1"/>
    <xf numFmtId="172" fontId="10" fillId="2" borderId="11" xfId="0" applyNumberFormat="1" applyFont="1" applyFill="1" applyBorder="1" applyAlignment="1"/>
    <xf numFmtId="172" fontId="10" fillId="2" borderId="18" xfId="0" applyNumberFormat="1" applyFont="1" applyFill="1" applyBorder="1" applyAlignment="1"/>
    <xf numFmtId="172" fontId="10" fillId="2" borderId="12" xfId="0" applyNumberFormat="1" applyFont="1" applyFill="1" applyBorder="1" applyAlignment="1"/>
    <xf numFmtId="172" fontId="10" fillId="2" borderId="1" xfId="0" applyNumberFormat="1" applyFont="1" applyFill="1" applyBorder="1" applyAlignment="1"/>
    <xf numFmtId="172" fontId="10" fillId="2" borderId="23" xfId="0" applyNumberFormat="1" applyFont="1" applyFill="1" applyBorder="1" applyAlignment="1"/>
    <xf numFmtId="0" fontId="9" fillId="2" borderId="5" xfId="7" applyFont="1" applyFill="1" applyBorder="1" applyAlignment="1">
      <alignment horizontal="right" wrapText="1"/>
    </xf>
    <xf numFmtId="0" fontId="25" fillId="0" borderId="4" xfId="0" applyFont="1" applyBorder="1"/>
    <xf numFmtId="0" fontId="25" fillId="0" borderId="0" xfId="0" applyFont="1" applyBorder="1"/>
    <xf numFmtId="172" fontId="46" fillId="0" borderId="21" xfId="0" applyNumberFormat="1" applyFont="1" applyBorder="1"/>
    <xf numFmtId="172" fontId="46" fillId="0" borderId="2" xfId="0" applyNumberFormat="1" applyFont="1" applyBorder="1"/>
    <xf numFmtId="172" fontId="46" fillId="0" borderId="11" xfId="0" applyNumberFormat="1" applyFont="1" applyBorder="1"/>
    <xf numFmtId="172" fontId="46" fillId="0" borderId="0" xfId="0" applyNumberFormat="1" applyFont="1" applyBorder="1"/>
    <xf numFmtId="172" fontId="46" fillId="0" borderId="18" xfId="0" applyNumberFormat="1" applyFont="1" applyBorder="1"/>
    <xf numFmtId="0" fontId="25" fillId="0" borderId="24" xfId="0" applyFont="1" applyBorder="1"/>
    <xf numFmtId="172" fontId="46" fillId="0" borderId="13" xfId="0" applyNumberFormat="1" applyFont="1" applyBorder="1"/>
    <xf numFmtId="172" fontId="46" fillId="0" borderId="4" xfId="0" applyNumberFormat="1" applyFont="1" applyBorder="1"/>
    <xf numFmtId="172" fontId="46" fillId="0" borderId="24" xfId="0" applyNumberFormat="1" applyFont="1" applyBorder="1"/>
    <xf numFmtId="0" fontId="25" fillId="0" borderId="1" xfId="0" applyFont="1" applyBorder="1" applyAlignment="1">
      <alignment wrapText="1"/>
    </xf>
    <xf numFmtId="0" fontId="47" fillId="0" borderId="0" xfId="0" applyFont="1"/>
    <xf numFmtId="0" fontId="48" fillId="2" borderId="0" xfId="0" applyFont="1" applyFill="1" applyBorder="1" applyAlignment="1">
      <alignment horizontal="right" vertical="center" wrapText="1"/>
    </xf>
    <xf numFmtId="172" fontId="11" fillId="2" borderId="1" xfId="0" applyNumberFormat="1" applyFont="1" applyFill="1" applyBorder="1" applyAlignment="1">
      <alignment horizontal="right"/>
    </xf>
    <xf numFmtId="0" fontId="3" fillId="0" borderId="0" xfId="3" applyAlignment="1" applyProtection="1"/>
    <xf numFmtId="0" fontId="8" fillId="0" borderId="0" xfId="0" applyFont="1" applyFill="1" applyAlignment="1">
      <alignment horizontal="left" vertical="center" wrapText="1"/>
    </xf>
    <xf numFmtId="0" fontId="43" fillId="0" borderId="0" xfId="0" applyFont="1" applyFill="1" applyAlignment="1">
      <alignment horizontal="left" vertical="center" wrapText="1"/>
    </xf>
    <xf numFmtId="0" fontId="8" fillId="2" borderId="0" xfId="0" applyFont="1" applyFill="1" applyAlignment="1">
      <alignment horizontal="left" vertical="top" wrapText="1"/>
    </xf>
    <xf numFmtId="0" fontId="8" fillId="2" borderId="0" xfId="0" applyFont="1" applyFill="1" applyBorder="1" applyAlignment="1">
      <alignment horizontal="left" vertical="top" wrapText="1"/>
    </xf>
    <xf numFmtId="0" fontId="8" fillId="2" borderId="0" xfId="0" applyFont="1" applyFill="1" applyAlignment="1">
      <alignment horizontal="left" vertical="center" wrapText="1"/>
    </xf>
    <xf numFmtId="0" fontId="8" fillId="0" borderId="0" xfId="11" applyFont="1" applyFill="1" applyBorder="1" applyAlignment="1">
      <alignment horizontal="left" vertical="center" wrapText="1"/>
    </xf>
    <xf numFmtId="0" fontId="5" fillId="0" borderId="2" xfId="5" applyFont="1" applyFill="1" applyBorder="1" applyAlignment="1">
      <alignment horizontal="left"/>
    </xf>
    <xf numFmtId="0" fontId="43" fillId="0" borderId="0" xfId="0" applyFont="1" applyFill="1" applyAlignment="1">
      <alignment horizontal="left" vertical="center" wrapText="1"/>
    </xf>
    <xf numFmtId="0" fontId="8" fillId="0" borderId="0" xfId="0" applyFont="1" applyFill="1" applyAlignment="1">
      <alignment horizontal="left" vertical="center"/>
    </xf>
    <xf numFmtId="0" fontId="8" fillId="2" borderId="0" xfId="0" applyFont="1" applyFill="1" applyBorder="1" applyAlignment="1">
      <alignment horizontal="left" vertical="top" wrapText="1"/>
    </xf>
    <xf numFmtId="0" fontId="8" fillId="2" borderId="0" xfId="0" applyFont="1" applyFill="1" applyAlignment="1">
      <alignment horizontal="left" vertical="center" wrapText="1"/>
    </xf>
    <xf numFmtId="0" fontId="8" fillId="0" borderId="0" xfId="11" applyFont="1" applyFill="1" applyBorder="1" applyAlignment="1">
      <alignment horizontal="left" vertical="center" wrapText="1"/>
    </xf>
    <xf numFmtId="0" fontId="22" fillId="2" borderId="1" xfId="0" applyFont="1" applyFill="1" applyBorder="1" applyAlignment="1">
      <alignment horizontal="right"/>
    </xf>
    <xf numFmtId="0" fontId="8" fillId="2" borderId="0" xfId="0" applyFont="1" applyFill="1" applyAlignment="1">
      <alignment horizontal="left" vertical="center"/>
    </xf>
    <xf numFmtId="164" fontId="5" fillId="0" borderId="0" xfId="0" applyNumberFormat="1" applyFont="1" applyFill="1"/>
    <xf numFmtId="164" fontId="9" fillId="0" borderId="0" xfId="0" applyNumberFormat="1" applyFont="1" applyFill="1"/>
    <xf numFmtId="0" fontId="25" fillId="0" borderId="1" xfId="0" applyFont="1" applyBorder="1" applyAlignment="1">
      <alignment horizontal="center" wrapText="1"/>
    </xf>
    <xf numFmtId="0" fontId="0" fillId="0" borderId="0" xfId="0" applyAlignment="1">
      <alignment horizontal="center"/>
    </xf>
    <xf numFmtId="0" fontId="9" fillId="2" borderId="0" xfId="7" applyFont="1" applyFill="1" applyBorder="1" applyAlignment="1">
      <alignment horizontal="center" wrapText="1"/>
    </xf>
    <xf numFmtId="0" fontId="25" fillId="0" borderId="23" xfId="0" applyFont="1" applyBorder="1" applyAlignment="1">
      <alignment horizontal="center" wrapText="1"/>
    </xf>
    <xf numFmtId="14" fontId="9" fillId="2" borderId="1" xfId="0" applyNumberFormat="1" applyFont="1" applyFill="1" applyBorder="1" applyAlignment="1" applyProtection="1">
      <alignment horizontal="right" wrapText="1"/>
      <protection locked="0"/>
    </xf>
    <xf numFmtId="0" fontId="9" fillId="2" borderId="0" xfId="0" applyNumberFormat="1" applyFont="1" applyFill="1" applyBorder="1"/>
    <xf numFmtId="0" fontId="5" fillId="2" borderId="3" xfId="0" quotePrefix="1" applyFont="1" applyFill="1" applyBorder="1" applyAlignment="1">
      <alignment horizontal="right"/>
    </xf>
    <xf numFmtId="0" fontId="9" fillId="2" borderId="3" xfId="0" applyNumberFormat="1" applyFont="1" applyFill="1" applyBorder="1"/>
    <xf numFmtId="0" fontId="14" fillId="0" borderId="1" xfId="5" applyFont="1" applyFill="1" applyBorder="1" applyAlignment="1">
      <alignment horizontal="left" wrapText="1"/>
    </xf>
    <xf numFmtId="14" fontId="9" fillId="0" borderId="5" xfId="0" applyNumberFormat="1" applyFont="1" applyFill="1" applyBorder="1" applyAlignment="1">
      <alignment horizontal="right" wrapText="1"/>
    </xf>
    <xf numFmtId="0" fontId="10" fillId="0" borderId="1" xfId="0" applyFont="1" applyFill="1" applyBorder="1" applyProtection="1">
      <protection locked="0"/>
    </xf>
    <xf numFmtId="14" fontId="9" fillId="0" borderId="10" xfId="0" applyNumberFormat="1" applyFont="1" applyFill="1" applyBorder="1" applyAlignment="1">
      <alignment horizontal="right" wrapText="1"/>
    </xf>
    <xf numFmtId="9" fontId="11" fillId="0" borderId="11" xfId="22" applyNumberFormat="1" applyFont="1" applyFill="1" applyBorder="1" applyAlignment="1">
      <alignment horizontal="right"/>
    </xf>
    <xf numFmtId="9" fontId="10" fillId="0" borderId="13" xfId="22" applyNumberFormat="1" applyFont="1" applyFill="1" applyBorder="1" applyAlignment="1">
      <alignment horizontal="right" vertical="center"/>
    </xf>
    <xf numFmtId="0" fontId="26" fillId="0" borderId="0" xfId="0" applyFont="1"/>
    <xf numFmtId="0" fontId="43" fillId="0" borderId="0" xfId="0" applyFont="1" applyFill="1" applyAlignment="1">
      <alignment vertical="center"/>
    </xf>
    <xf numFmtId="0" fontId="9" fillId="0" borderId="10" xfId="12" applyFont="1" applyFill="1" applyBorder="1" applyAlignment="1">
      <alignment horizontal="right" wrapText="1"/>
    </xf>
    <xf numFmtId="164" fontId="9" fillId="0" borderId="11" xfId="0" applyNumberFormat="1" applyFont="1" applyFill="1" applyBorder="1" applyAlignment="1">
      <alignment horizontal="right"/>
    </xf>
    <xf numFmtId="164" fontId="9" fillId="0" borderId="18" xfId="0" applyNumberFormat="1" applyFont="1" applyFill="1" applyBorder="1" applyAlignment="1">
      <alignment horizontal="right"/>
    </xf>
    <xf numFmtId="164" fontId="9" fillId="0" borderId="12" xfId="0" applyNumberFormat="1" applyFont="1" applyFill="1" applyBorder="1" applyAlignment="1">
      <alignment horizontal="right"/>
    </xf>
    <xf numFmtId="164" fontId="9" fillId="0" borderId="23" xfId="0" applyNumberFormat="1" applyFont="1" applyFill="1" applyBorder="1" applyAlignment="1">
      <alignment horizontal="right"/>
    </xf>
    <xf numFmtId="0" fontId="9" fillId="0" borderId="17" xfId="0" applyFont="1" applyFill="1" applyBorder="1" applyAlignment="1">
      <alignment horizontal="right" wrapText="1"/>
    </xf>
    <xf numFmtId="164" fontId="5" fillId="0" borderId="11" xfId="0" applyNumberFormat="1" applyFont="1" applyFill="1" applyBorder="1" applyAlignment="1">
      <alignment horizontal="right"/>
    </xf>
    <xf numFmtId="164" fontId="5" fillId="0" borderId="18" xfId="0" applyNumberFormat="1" applyFont="1" applyFill="1" applyBorder="1" applyAlignment="1">
      <alignment horizontal="right"/>
    </xf>
    <xf numFmtId="164" fontId="5" fillId="0" borderId="11" xfId="0" applyNumberFormat="1" applyFont="1" applyFill="1" applyBorder="1" applyAlignment="1">
      <alignment horizontal="right" vertical="center"/>
    </xf>
    <xf numFmtId="164" fontId="5" fillId="0" borderId="18" xfId="0" applyNumberFormat="1" applyFont="1" applyFill="1" applyBorder="1" applyAlignment="1">
      <alignment horizontal="right" vertical="center"/>
    </xf>
    <xf numFmtId="164" fontId="5" fillId="0" borderId="12" xfId="13" applyNumberFormat="1" applyFont="1" applyFill="1" applyBorder="1" applyAlignment="1">
      <alignment horizontal="right"/>
    </xf>
    <xf numFmtId="164" fontId="5" fillId="0" borderId="23" xfId="13" applyNumberFormat="1" applyFont="1" applyFill="1" applyBorder="1" applyAlignment="1">
      <alignment horizontal="right"/>
    </xf>
    <xf numFmtId="0" fontId="8" fillId="0" borderId="1" xfId="14" applyFont="1" applyFill="1" applyBorder="1" applyAlignment="1">
      <alignment horizontal="left" vertical="center" wrapText="1"/>
    </xf>
    <xf numFmtId="164" fontId="5" fillId="0" borderId="21" xfId="0" applyNumberFormat="1" applyFont="1" applyFill="1" applyBorder="1" applyAlignment="1">
      <alignment vertical="center"/>
    </xf>
    <xf numFmtId="164" fontId="5" fillId="0" borderId="20" xfId="0" applyNumberFormat="1" applyFont="1" applyFill="1" applyBorder="1" applyAlignment="1">
      <alignment vertical="center"/>
    </xf>
    <xf numFmtId="164" fontId="5" fillId="0" borderId="11" xfId="0" applyNumberFormat="1" applyFont="1" applyFill="1" applyBorder="1" applyAlignment="1">
      <alignment vertical="center"/>
    </xf>
    <xf numFmtId="164" fontId="5" fillId="0" borderId="18" xfId="0" applyNumberFormat="1" applyFont="1" applyFill="1" applyBorder="1" applyAlignment="1">
      <alignment vertical="center"/>
    </xf>
    <xf numFmtId="164" fontId="5" fillId="0" borderId="12" xfId="0" applyNumberFormat="1" applyFont="1" applyFill="1" applyBorder="1" applyAlignment="1">
      <alignment vertical="center"/>
    </xf>
    <xf numFmtId="164" fontId="5" fillId="0" borderId="23" xfId="0" applyNumberFormat="1" applyFont="1" applyFill="1" applyBorder="1" applyAlignment="1">
      <alignment vertical="center"/>
    </xf>
    <xf numFmtId="0" fontId="9" fillId="0" borderId="25" xfId="0" applyFont="1" applyFill="1" applyBorder="1" applyAlignment="1">
      <alignment horizontal="left"/>
    </xf>
    <xf numFmtId="0" fontId="9" fillId="0" borderId="15" xfId="0" applyFont="1" applyFill="1" applyBorder="1" applyAlignment="1">
      <alignment horizontal="left"/>
    </xf>
    <xf numFmtId="0" fontId="9" fillId="0" borderId="16" xfId="0" applyFont="1" applyFill="1" applyBorder="1" applyAlignment="1">
      <alignment horizontal="left" vertical="center"/>
    </xf>
    <xf numFmtId="164" fontId="9" fillId="0" borderId="21" xfId="0" applyNumberFormat="1" applyFont="1" applyFill="1" applyBorder="1" applyAlignment="1">
      <alignment vertical="center"/>
    </xf>
    <xf numFmtId="164" fontId="9" fillId="0" borderId="11" xfId="0" applyNumberFormat="1" applyFont="1" applyFill="1" applyBorder="1" applyAlignment="1">
      <alignment vertical="center"/>
    </xf>
    <xf numFmtId="164" fontId="9" fillId="0" borderId="12" xfId="0" applyNumberFormat="1" applyFont="1" applyFill="1" applyBorder="1" applyAlignment="1">
      <alignment vertical="center"/>
    </xf>
    <xf numFmtId="0" fontId="8" fillId="2" borderId="0" xfId="0" applyFont="1" applyFill="1" applyBorder="1" applyAlignment="1">
      <alignment vertical="center"/>
    </xf>
    <xf numFmtId="0" fontId="34" fillId="2" borderId="0" xfId="0" applyFont="1" applyFill="1" applyBorder="1" applyAlignment="1">
      <alignment horizontal="left" vertical="top"/>
    </xf>
    <xf numFmtId="0" fontId="9" fillId="0" borderId="1" xfId="12" applyFont="1" applyFill="1" applyBorder="1" applyAlignment="1">
      <alignment horizontal="right" wrapText="1"/>
    </xf>
    <xf numFmtId="3" fontId="10" fillId="2" borderId="0" xfId="0" applyNumberFormat="1" applyFont="1" applyFill="1" applyBorder="1"/>
    <xf numFmtId="173" fontId="11" fillId="2" borderId="0" xfId="0" applyNumberFormat="1" applyFont="1" applyFill="1" applyBorder="1"/>
    <xf numFmtId="0" fontId="0" fillId="0" borderId="1" xfId="0" applyBorder="1" applyAlignment="1">
      <alignment wrapText="1"/>
    </xf>
    <xf numFmtId="0" fontId="0" fillId="0" borderId="10" xfId="0" applyBorder="1" applyAlignment="1">
      <alignment wrapText="1"/>
    </xf>
    <xf numFmtId="0" fontId="0" fillId="0" borderId="5" xfId="0" applyBorder="1" applyAlignment="1">
      <alignment wrapText="1"/>
    </xf>
    <xf numFmtId="0" fontId="0" fillId="0" borderId="17" xfId="0" applyBorder="1" applyAlignment="1">
      <alignment wrapText="1"/>
    </xf>
    <xf numFmtId="168" fontId="0" fillId="0" borderId="3" xfId="0" applyNumberFormat="1" applyBorder="1"/>
    <xf numFmtId="3" fontId="5" fillId="2" borderId="3" xfId="0" applyNumberFormat="1" applyFont="1" applyFill="1" applyBorder="1" applyAlignment="1">
      <alignment horizontal="right"/>
    </xf>
    <xf numFmtId="168" fontId="0" fillId="0" borderId="18" xfId="0" applyNumberFormat="1" applyBorder="1"/>
    <xf numFmtId="168" fontId="0" fillId="0" borderId="19" xfId="0" applyNumberFormat="1" applyBorder="1"/>
    <xf numFmtId="3" fontId="5" fillId="2" borderId="11" xfId="0" applyNumberFormat="1" applyFont="1" applyFill="1" applyBorder="1" applyAlignment="1">
      <alignment horizontal="right"/>
    </xf>
    <xf numFmtId="3" fontId="5" fillId="2" borderId="14" xfId="0" applyNumberFormat="1" applyFont="1" applyFill="1" applyBorder="1" applyAlignment="1">
      <alignment horizontal="right"/>
    </xf>
    <xf numFmtId="3" fontId="5" fillId="4" borderId="0" xfId="0" applyNumberFormat="1" applyFont="1" applyFill="1" applyBorder="1" applyAlignment="1">
      <alignment horizontal="right"/>
    </xf>
    <xf numFmtId="3" fontId="5" fillId="4" borderId="21" xfId="0" applyNumberFormat="1" applyFont="1" applyFill="1" applyBorder="1" applyAlignment="1">
      <alignment horizontal="right"/>
    </xf>
    <xf numFmtId="0" fontId="0" fillId="4" borderId="20" xfId="0" applyFill="1" applyBorder="1"/>
    <xf numFmtId="3" fontId="5" fillId="4" borderId="11" xfId="0" applyNumberFormat="1" applyFont="1" applyFill="1" applyBorder="1" applyAlignment="1">
      <alignment horizontal="right"/>
    </xf>
    <xf numFmtId="0" fontId="0" fillId="4" borderId="18" xfId="0" applyFill="1" applyBorder="1"/>
    <xf numFmtId="3" fontId="5" fillId="4" borderId="18" xfId="0" applyNumberFormat="1" applyFont="1" applyFill="1" applyBorder="1" applyAlignment="1">
      <alignment horizontal="right"/>
    </xf>
    <xf numFmtId="3" fontId="5" fillId="2" borderId="18" xfId="0" applyNumberFormat="1" applyFont="1" applyFill="1" applyBorder="1" applyAlignment="1">
      <alignment horizontal="right"/>
    </xf>
    <xf numFmtId="3" fontId="5" fillId="2" borderId="19" xfId="0" applyNumberFormat="1" applyFont="1" applyFill="1" applyBorder="1" applyAlignment="1">
      <alignment horizontal="right"/>
    </xf>
    <xf numFmtId="0" fontId="0" fillId="0" borderId="12" xfId="0" applyBorder="1" applyAlignment="1">
      <alignment wrapText="1"/>
    </xf>
    <xf numFmtId="3" fontId="5" fillId="4" borderId="20" xfId="0" applyNumberFormat="1" applyFont="1" applyFill="1" applyBorder="1" applyAlignment="1">
      <alignment horizontal="right"/>
    </xf>
    <xf numFmtId="0" fontId="0" fillId="0" borderId="1" xfId="0" applyBorder="1" applyAlignment="1">
      <alignment horizontal="center"/>
    </xf>
    <xf numFmtId="168" fontId="0" fillId="4" borderId="0" xfId="0" applyNumberFormat="1" applyFill="1"/>
    <xf numFmtId="0" fontId="8" fillId="2" borderId="0" xfId="0" applyFont="1" applyFill="1" applyBorder="1" applyAlignment="1">
      <alignment horizontal="left" vertical="top" wrapText="1"/>
    </xf>
    <xf numFmtId="0" fontId="8" fillId="0" borderId="0" xfId="11" applyFont="1" applyFill="1" applyBorder="1" applyAlignment="1">
      <alignment vertical="center"/>
    </xf>
    <xf numFmtId="0" fontId="49" fillId="0" borderId="0" xfId="0" applyFont="1" applyBorder="1"/>
    <xf numFmtId="0" fontId="25" fillId="0" borderId="3" xfId="0" applyFont="1" applyBorder="1"/>
    <xf numFmtId="0" fontId="25" fillId="0" borderId="1" xfId="0" applyFont="1" applyBorder="1"/>
    <xf numFmtId="0" fontId="25" fillId="0" borderId="1" xfId="0" applyFont="1" applyBorder="1" applyAlignment="1">
      <alignment horizontal="center"/>
    </xf>
    <xf numFmtId="0" fontId="25" fillId="0" borderId="0" xfId="0" applyFont="1" applyAlignment="1">
      <alignment horizontal="center"/>
    </xf>
    <xf numFmtId="0" fontId="49" fillId="0" borderId="0" xfId="0" applyFont="1"/>
    <xf numFmtId="0" fontId="49" fillId="0" borderId="0" xfId="0" applyFont="1" applyAlignment="1">
      <alignment horizontal="center"/>
    </xf>
    <xf numFmtId="3" fontId="9" fillId="0" borderId="21" xfId="0" applyNumberFormat="1" applyFont="1" applyFill="1" applyBorder="1" applyAlignment="1">
      <alignment horizontal="right" wrapText="1"/>
    </xf>
    <xf numFmtId="172" fontId="0" fillId="0" borderId="11" xfId="0" applyNumberFormat="1" applyBorder="1"/>
    <xf numFmtId="3" fontId="9" fillId="0" borderId="10" xfId="0" applyNumberFormat="1" applyFont="1" applyFill="1" applyBorder="1" applyAlignment="1">
      <alignment horizontal="right" wrapText="1"/>
    </xf>
    <xf numFmtId="3" fontId="9" fillId="0" borderId="26" xfId="0" applyNumberFormat="1" applyFont="1" applyFill="1" applyBorder="1" applyAlignment="1">
      <alignment horizontal="right" wrapText="1"/>
    </xf>
    <xf numFmtId="172" fontId="9" fillId="0" borderId="13" xfId="0" applyNumberFormat="1" applyFont="1" applyFill="1" applyBorder="1" applyAlignment="1">
      <alignment horizontal="right" vertical="center"/>
    </xf>
    <xf numFmtId="3" fontId="9" fillId="0" borderId="12" xfId="0" applyNumberFormat="1" applyFont="1" applyFill="1" applyBorder="1" applyAlignment="1">
      <alignment horizontal="right" wrapText="1"/>
    </xf>
    <xf numFmtId="164" fontId="5" fillId="4" borderId="11" xfId="0" applyNumberFormat="1" applyFont="1" applyFill="1" applyBorder="1" applyAlignment="1">
      <alignment horizontal="right"/>
    </xf>
    <xf numFmtId="4" fontId="5" fillId="2" borderId="11" xfId="0" applyNumberFormat="1" applyFont="1" applyFill="1" applyBorder="1"/>
    <xf numFmtId="4" fontId="5" fillId="2" borderId="12" xfId="0" applyNumberFormat="1" applyFont="1" applyFill="1" applyBorder="1"/>
    <xf numFmtId="0" fontId="14" fillId="0" borderId="12" xfId="0" applyFont="1" applyFill="1" applyBorder="1" applyAlignment="1">
      <alignment horizontal="right"/>
    </xf>
    <xf numFmtId="3" fontId="9" fillId="0" borderId="11" xfId="0" applyNumberFormat="1" applyFont="1" applyFill="1" applyBorder="1" applyAlignment="1">
      <alignment horizontal="right" wrapText="1"/>
    </xf>
    <xf numFmtId="3" fontId="5" fillId="0" borderId="21" xfId="16" applyNumberFormat="1" applyFont="1" applyFill="1" applyBorder="1" applyAlignment="1"/>
    <xf numFmtId="3" fontId="5" fillId="0" borderId="11" xfId="16" applyNumberFormat="1" applyFont="1" applyFill="1" applyBorder="1" applyAlignment="1"/>
    <xf numFmtId="3" fontId="9" fillId="0" borderId="13" xfId="16" applyNumberFormat="1" applyFont="1" applyFill="1" applyBorder="1" applyAlignment="1">
      <alignment vertical="center"/>
    </xf>
    <xf numFmtId="172" fontId="5" fillId="0" borderId="21" xfId="0" applyNumberFormat="1" applyFont="1" applyFill="1" applyBorder="1" applyAlignment="1">
      <alignment horizontal="right"/>
    </xf>
    <xf numFmtId="172" fontId="5" fillId="0" borderId="11" xfId="0" applyNumberFormat="1" applyFont="1" applyFill="1" applyBorder="1" applyAlignment="1">
      <alignment horizontal="right" wrapText="1"/>
    </xf>
    <xf numFmtId="3" fontId="9" fillId="0" borderId="22" xfId="0" applyNumberFormat="1" applyFont="1" applyFill="1" applyBorder="1" applyAlignment="1">
      <alignment horizontal="right" wrapText="1"/>
    </xf>
    <xf numFmtId="172" fontId="0" fillId="0" borderId="15" xfId="0" applyNumberFormat="1" applyBorder="1"/>
    <xf numFmtId="2" fontId="9" fillId="0" borderId="4" xfId="0" applyNumberFormat="1" applyFont="1" applyFill="1" applyBorder="1" applyAlignment="1">
      <alignment horizontal="right" vertical="center"/>
    </xf>
    <xf numFmtId="2" fontId="9" fillId="0" borderId="13" xfId="0" applyNumberFormat="1" applyFont="1" applyFill="1" applyBorder="1" applyAlignment="1">
      <alignment horizontal="right" vertical="center"/>
    </xf>
    <xf numFmtId="2" fontId="9" fillId="0" borderId="27" xfId="0" applyNumberFormat="1" applyFont="1" applyFill="1" applyBorder="1" applyAlignment="1">
      <alignment horizontal="right" vertical="center"/>
    </xf>
    <xf numFmtId="3" fontId="5" fillId="0" borderId="3" xfId="0" applyNumberFormat="1" applyFont="1" applyFill="1" applyBorder="1"/>
    <xf numFmtId="3" fontId="5" fillId="0" borderId="3" xfId="0" applyNumberFormat="1" applyFont="1" applyFill="1" applyBorder="1" applyAlignment="1">
      <alignment horizontal="right"/>
    </xf>
    <xf numFmtId="3" fontId="9" fillId="0" borderId="3" xfId="0" applyNumberFormat="1" applyFont="1" applyFill="1" applyBorder="1" applyAlignment="1">
      <alignment horizontal="right"/>
    </xf>
    <xf numFmtId="0" fontId="9" fillId="0" borderId="5" xfId="12" applyFont="1" applyFill="1" applyBorder="1" applyAlignment="1">
      <alignment horizontal="center" wrapText="1"/>
    </xf>
    <xf numFmtId="3" fontId="25" fillId="0" borderId="0" xfId="0" applyNumberFormat="1" applyFont="1"/>
    <xf numFmtId="3" fontId="25" fillId="0" borderId="3" xfId="0" applyNumberFormat="1" applyFont="1" applyBorder="1"/>
    <xf numFmtId="3" fontId="5" fillId="0" borderId="3" xfId="0" applyNumberFormat="1" applyFont="1" applyFill="1" applyBorder="1" applyAlignment="1">
      <alignment horizontal="right" wrapText="1"/>
    </xf>
    <xf numFmtId="0" fontId="25" fillId="0" borderId="0" xfId="0" applyFont="1" applyAlignment="1">
      <alignment horizontal="left" indent="1"/>
    </xf>
    <xf numFmtId="0" fontId="14" fillId="0" borderId="3" xfId="0" applyFont="1" applyFill="1" applyBorder="1" applyAlignment="1">
      <alignment horizontal="left" vertical="center"/>
    </xf>
    <xf numFmtId="0" fontId="25" fillId="0" borderId="0" xfId="0" applyFont="1" applyBorder="1" applyAlignment="1">
      <alignment horizontal="left"/>
    </xf>
    <xf numFmtId="0" fontId="25" fillId="0" borderId="1" xfId="0" applyFont="1" applyBorder="1" applyAlignment="1">
      <alignment horizontal="left"/>
    </xf>
    <xf numFmtId="0" fontId="9" fillId="0" borderId="10" xfId="4" applyFont="1" applyFill="1" applyBorder="1" applyAlignment="1">
      <alignment horizontal="center" wrapText="1"/>
    </xf>
    <xf numFmtId="175" fontId="5" fillId="0" borderId="11" xfId="17" applyNumberFormat="1" applyFont="1" applyFill="1" applyBorder="1" applyAlignment="1">
      <alignment horizontal="right"/>
    </xf>
    <xf numFmtId="175" fontId="5" fillId="0" borderId="13" xfId="17" applyNumberFormat="1" applyFont="1" applyFill="1" applyBorder="1" applyAlignment="1">
      <alignment horizontal="right" vertical="center"/>
    </xf>
    <xf numFmtId="0" fontId="10" fillId="0" borderId="16" xfId="4" applyFont="1" applyFill="1" applyBorder="1" applyAlignment="1">
      <alignment horizontal="center" wrapText="1"/>
    </xf>
    <xf numFmtId="172" fontId="11" fillId="0" borderId="15" xfId="0" quotePrefix="1" applyNumberFormat="1" applyFont="1" applyFill="1" applyBorder="1" applyAlignment="1">
      <alignment horizontal="right"/>
    </xf>
    <xf numFmtId="172" fontId="9" fillId="0" borderId="27" xfId="22" applyNumberFormat="1" applyFont="1" applyFill="1" applyBorder="1" applyAlignment="1">
      <alignment vertical="center"/>
    </xf>
    <xf numFmtId="0" fontId="9" fillId="0" borderId="12" xfId="19" applyFont="1" applyFill="1" applyBorder="1" applyAlignment="1">
      <alignment horizontal="right"/>
    </xf>
    <xf numFmtId="169" fontId="5" fillId="0" borderId="11" xfId="17" applyNumberFormat="1" applyFont="1" applyFill="1" applyBorder="1" applyAlignment="1">
      <alignment horizontal="right"/>
    </xf>
    <xf numFmtId="166" fontId="9" fillId="0" borderId="13" xfId="17" applyNumberFormat="1" applyFont="1" applyFill="1" applyBorder="1" applyAlignment="1">
      <alignment vertical="center"/>
    </xf>
    <xf numFmtId="0" fontId="10" fillId="0" borderId="12" xfId="4" applyFont="1" applyFill="1" applyBorder="1" applyAlignment="1">
      <alignment horizontal="center" wrapText="1"/>
    </xf>
    <xf numFmtId="172" fontId="11" fillId="0" borderId="11" xfId="0" quotePrefix="1" applyNumberFormat="1" applyFont="1" applyFill="1" applyBorder="1" applyAlignment="1">
      <alignment horizontal="right"/>
    </xf>
    <xf numFmtId="172" fontId="11" fillId="0" borderId="12" xfId="0" quotePrefix="1" applyNumberFormat="1" applyFont="1" applyFill="1" applyBorder="1" applyAlignment="1">
      <alignment horizontal="right"/>
    </xf>
    <xf numFmtId="172" fontId="5" fillId="0" borderId="11" xfId="0" applyNumberFormat="1" applyFont="1" applyFill="1" applyBorder="1"/>
    <xf numFmtId="172" fontId="5" fillId="0" borderId="12" xfId="0" applyNumberFormat="1" applyFont="1" applyFill="1" applyBorder="1"/>
    <xf numFmtId="0" fontId="9" fillId="0" borderId="1" xfId="4" applyFont="1" applyFill="1" applyBorder="1"/>
    <xf numFmtId="0" fontId="10" fillId="0" borderId="29" xfId="4" applyFont="1" applyFill="1" applyBorder="1" applyAlignment="1">
      <alignment horizontal="center" wrapText="1"/>
    </xf>
    <xf numFmtId="0" fontId="9" fillId="0" borderId="30" xfId="4" applyFont="1" applyFill="1" applyBorder="1" applyAlignment="1">
      <alignment horizontal="center" wrapText="1"/>
    </xf>
    <xf numFmtId="168" fontId="5" fillId="0" borderId="31" xfId="22" applyNumberFormat="1" applyFont="1" applyFill="1" applyBorder="1"/>
    <xf numFmtId="168" fontId="5" fillId="0" borderId="15" xfId="22" applyNumberFormat="1" applyFont="1" applyFill="1" applyBorder="1"/>
    <xf numFmtId="168" fontId="16" fillId="0" borderId="27" xfId="22" applyNumberFormat="1" applyFont="1" applyFill="1" applyBorder="1" applyAlignment="1">
      <alignment vertical="center"/>
    </xf>
    <xf numFmtId="0" fontId="14" fillId="2" borderId="0" xfId="0" applyFont="1" applyFill="1" applyBorder="1" applyAlignment="1">
      <alignment vertical="center"/>
    </xf>
    <xf numFmtId="0" fontId="19" fillId="2" borderId="1" xfId="0" applyFont="1" applyFill="1" applyBorder="1" applyAlignment="1">
      <alignment horizontal="left"/>
    </xf>
    <xf numFmtId="0" fontId="5" fillId="2" borderId="21" xfId="0" applyFont="1" applyFill="1" applyBorder="1" applyAlignment="1"/>
    <xf numFmtId="2" fontId="5" fillId="3" borderId="11" xfId="0" applyNumberFormat="1" applyFont="1" applyFill="1" applyBorder="1" applyAlignment="1">
      <alignment horizontal="right"/>
    </xf>
    <xf numFmtId="0" fontId="5" fillId="2" borderId="11" xfId="0" applyFont="1" applyFill="1" applyBorder="1" applyAlignment="1">
      <alignment horizontal="right"/>
    </xf>
    <xf numFmtId="0" fontId="5" fillId="2" borderId="14" xfId="0" applyFont="1" applyFill="1" applyBorder="1"/>
    <xf numFmtId="3" fontId="5" fillId="2" borderId="21" xfId="0" applyNumberFormat="1" applyFont="1" applyFill="1" applyBorder="1" applyAlignment="1"/>
    <xf numFmtId="3" fontId="5" fillId="2" borderId="11" xfId="0" applyNumberFormat="1" applyFont="1" applyFill="1" applyBorder="1"/>
    <xf numFmtId="0" fontId="5" fillId="2" borderId="11" xfId="0" applyFont="1" applyFill="1" applyBorder="1"/>
    <xf numFmtId="0" fontId="0" fillId="0" borderId="14" xfId="0" applyBorder="1"/>
    <xf numFmtId="0" fontId="9" fillId="2" borderId="14" xfId="0" applyFont="1" applyFill="1" applyBorder="1"/>
    <xf numFmtId="0" fontId="14" fillId="2" borderId="21" xfId="0" applyFont="1" applyFill="1" applyBorder="1" applyAlignment="1">
      <alignment vertical="center"/>
    </xf>
    <xf numFmtId="0" fontId="19" fillId="2" borderId="22" xfId="0" applyFont="1" applyFill="1" applyBorder="1" applyAlignment="1">
      <alignment horizontal="right" wrapText="1"/>
    </xf>
    <xf numFmtId="0" fontId="19" fillId="2" borderId="22" xfId="0" applyFont="1" applyFill="1" applyBorder="1" applyAlignment="1">
      <alignment horizontal="right" vertical="center" wrapText="1"/>
    </xf>
    <xf numFmtId="0" fontId="27" fillId="2" borderId="17" xfId="0" applyFont="1" applyFill="1" applyBorder="1" applyAlignment="1">
      <alignment horizontal="center" wrapText="1"/>
    </xf>
    <xf numFmtId="164" fontId="5" fillId="5" borderId="15" xfId="0" applyNumberFormat="1" applyFont="1" applyFill="1" applyBorder="1" applyAlignment="1">
      <alignment horizontal="right"/>
    </xf>
    <xf numFmtId="0" fontId="5" fillId="2" borderId="28" xfId="0" applyFont="1" applyFill="1" applyBorder="1"/>
    <xf numFmtId="0" fontId="9" fillId="2" borderId="21" xfId="0" applyFont="1" applyFill="1" applyBorder="1" applyAlignment="1"/>
    <xf numFmtId="164" fontId="5" fillId="5" borderId="11" xfId="0" applyNumberFormat="1" applyFont="1" applyFill="1" applyBorder="1" applyAlignment="1">
      <alignment horizontal="right"/>
    </xf>
    <xf numFmtId="164" fontId="5" fillId="5" borderId="25" xfId="0" applyNumberFormat="1" applyFont="1" applyFill="1" applyBorder="1" applyAlignment="1">
      <alignment horizontal="right"/>
    </xf>
    <xf numFmtId="0" fontId="19" fillId="2" borderId="16" xfId="0" applyFont="1" applyFill="1" applyBorder="1" applyAlignment="1">
      <alignment horizontal="right" wrapText="1"/>
    </xf>
    <xf numFmtId="3" fontId="9" fillId="2" borderId="25" xfId="0" applyNumberFormat="1" applyFont="1" applyFill="1" applyBorder="1" applyAlignment="1">
      <alignment horizontal="right"/>
    </xf>
    <xf numFmtId="3" fontId="9" fillId="2" borderId="15" xfId="0" applyNumberFormat="1" applyFont="1" applyFill="1" applyBorder="1" applyAlignment="1">
      <alignment horizontal="right"/>
    </xf>
    <xf numFmtId="3" fontId="9" fillId="2" borderId="28" xfId="0" applyNumberFormat="1" applyFont="1" applyFill="1" applyBorder="1" applyAlignment="1">
      <alignment horizontal="right"/>
    </xf>
    <xf numFmtId="0" fontId="25" fillId="0" borderId="0" xfId="0" applyFont="1" applyAlignment="1"/>
    <xf numFmtId="0" fontId="34" fillId="0" borderId="3" xfId="0" applyFont="1" applyFill="1" applyBorder="1"/>
    <xf numFmtId="0" fontId="22" fillId="0" borderId="0" xfId="0" applyFont="1" applyFill="1" applyAlignment="1">
      <alignment horizontal="right"/>
    </xf>
    <xf numFmtId="3" fontId="9" fillId="0" borderId="5" xfId="0" applyNumberFormat="1" applyFont="1" applyFill="1" applyBorder="1" applyAlignment="1">
      <alignment horizontal="right" wrapText="1"/>
    </xf>
    <xf numFmtId="0" fontId="30" fillId="0" borderId="0" xfId="0" applyFont="1" applyFill="1" applyBorder="1" applyAlignment="1">
      <alignment horizontal="left" vertical="center" wrapText="1"/>
    </xf>
    <xf numFmtId="0" fontId="0" fillId="0" borderId="0" xfId="0" applyAlignment="1">
      <alignment horizontal="left" wrapText="1"/>
    </xf>
    <xf numFmtId="0" fontId="8" fillId="0" borderId="0" xfId="0" applyFont="1" applyFill="1" applyBorder="1" applyAlignment="1">
      <alignment horizontal="left" vertical="center" wrapText="1"/>
    </xf>
    <xf numFmtId="0" fontId="8" fillId="2" borderId="0" xfId="0" applyFont="1" applyFill="1" applyBorder="1" applyAlignment="1">
      <alignment horizontal="left" vertical="center"/>
    </xf>
    <xf numFmtId="0" fontId="34" fillId="2" borderId="0" xfId="0" applyFont="1" applyFill="1" applyAlignment="1">
      <alignment horizontal="left" vertical="top" wrapText="1"/>
    </xf>
    <xf numFmtId="0" fontId="34" fillId="2" borderId="0" xfId="0" applyFont="1" applyFill="1" applyAlignment="1">
      <alignment horizontal="left" wrapText="1"/>
    </xf>
    <xf numFmtId="0" fontId="30" fillId="0" borderId="0" xfId="0" applyFont="1" applyFill="1" applyBorder="1" applyAlignment="1">
      <alignment horizontal="left" vertical="center"/>
    </xf>
    <xf numFmtId="0" fontId="46" fillId="0" borderId="0" xfId="0" applyFont="1"/>
    <xf numFmtId="0" fontId="9" fillId="6" borderId="11" xfId="0" applyFont="1" applyFill="1" applyBorder="1" applyAlignment="1"/>
    <xf numFmtId="0" fontId="5" fillId="6" borderId="0" xfId="0" applyFont="1" applyFill="1" applyBorder="1"/>
    <xf numFmtId="0" fontId="35" fillId="0" borderId="0" xfId="0" quotePrefix="1" applyFont="1" applyFill="1" applyAlignment="1">
      <alignment vertical="center"/>
    </xf>
    <xf numFmtId="9" fontId="10" fillId="0" borderId="3" xfId="22" applyNumberFormat="1" applyFont="1" applyFill="1" applyBorder="1"/>
    <xf numFmtId="0" fontId="34" fillId="0" borderId="0" xfId="5" applyFont="1" applyFill="1" applyBorder="1" applyAlignment="1">
      <alignment horizontal="left"/>
    </xf>
    <xf numFmtId="0" fontId="34" fillId="0" borderId="0" xfId="0" applyFont="1" applyFill="1" applyBorder="1" applyAlignment="1">
      <alignment vertical="center" wrapText="1"/>
    </xf>
    <xf numFmtId="0" fontId="3" fillId="0" borderId="0" xfId="3" applyAlignment="1" applyProtection="1">
      <alignment vertical="center"/>
    </xf>
    <xf numFmtId="0" fontId="0" fillId="0" borderId="0" xfId="0" applyFont="1" applyFill="1" applyBorder="1"/>
    <xf numFmtId="0" fontId="0" fillId="7" borderId="32" xfId="0" applyFill="1" applyBorder="1" applyAlignment="1"/>
    <xf numFmtId="0" fontId="0" fillId="0" borderId="32" xfId="0" applyBorder="1" applyAlignment="1">
      <alignment vertical="top"/>
    </xf>
    <xf numFmtId="0" fontId="50" fillId="0" borderId="0" xfId="0" applyFont="1"/>
    <xf numFmtId="0" fontId="0" fillId="0" borderId="32" xfId="0" applyBorder="1" applyAlignment="1"/>
    <xf numFmtId="16" fontId="0" fillId="7" borderId="32" xfId="0" applyNumberFormat="1" applyFill="1" applyBorder="1" applyAlignment="1"/>
    <xf numFmtId="0" fontId="0" fillId="0" borderId="32" xfId="0" applyNumberFormat="1" applyBorder="1" applyAlignment="1">
      <alignment vertical="top"/>
    </xf>
    <xf numFmtId="0" fontId="0" fillId="0" borderId="0" xfId="0" applyAlignment="1">
      <alignment horizontal="left"/>
    </xf>
    <xf numFmtId="0" fontId="5" fillId="0" borderId="4" xfId="5" applyFont="1" applyFill="1" applyBorder="1" applyAlignment="1">
      <alignment horizontal="left" vertical="center"/>
    </xf>
    <xf numFmtId="0" fontId="0" fillId="0" borderId="0" xfId="0" applyAlignment="1">
      <alignment horizontal="left"/>
    </xf>
    <xf numFmtId="0" fontId="51" fillId="0" borderId="0" xfId="0" applyFont="1"/>
    <xf numFmtId="0" fontId="30" fillId="0" borderId="0" xfId="0" applyFont="1" applyFill="1" applyBorder="1" applyAlignment="1">
      <alignment horizontal="left" vertical="center" wrapText="1"/>
    </xf>
    <xf numFmtId="0" fontId="24" fillId="0" borderId="0" xfId="0" applyFont="1" applyAlignment="1">
      <alignment horizontal="left"/>
    </xf>
    <xf numFmtId="0" fontId="0" fillId="0" borderId="0" xfId="0" applyAlignment="1">
      <alignment horizontal="left" vertical="center" wrapText="1"/>
    </xf>
    <xf numFmtId="0" fontId="43" fillId="0" borderId="0" xfId="0" applyFont="1" applyFill="1" applyAlignment="1">
      <alignment horizontal="left" vertical="center" wrapText="1"/>
    </xf>
    <xf numFmtId="0" fontId="8" fillId="2" borderId="0" xfId="0" applyFont="1" applyFill="1" applyAlignment="1">
      <alignment horizontal="left" vertical="center" wrapText="1"/>
    </xf>
    <xf numFmtId="0" fontId="34" fillId="0" borderId="0" xfId="0" applyFont="1" applyFill="1" applyAlignment="1" applyProtection="1">
      <alignment horizontal="left" wrapText="1"/>
      <protection locked="0"/>
    </xf>
    <xf numFmtId="0" fontId="34" fillId="0" borderId="0" xfId="0" applyFont="1" applyFill="1" applyBorder="1" applyAlignment="1" applyProtection="1">
      <alignment horizontal="left" wrapText="1"/>
      <protection locked="0"/>
    </xf>
    <xf numFmtId="0" fontId="34" fillId="2" borderId="0" xfId="0" applyFont="1" applyFill="1" applyAlignment="1" applyProtection="1">
      <alignment horizontal="left" vertical="top" wrapText="1"/>
      <protection locked="0"/>
    </xf>
    <xf numFmtId="0" fontId="8" fillId="2" borderId="0" xfId="0" applyFont="1" applyFill="1" applyBorder="1" applyAlignment="1">
      <alignment horizontal="left" vertical="center" wrapText="1"/>
    </xf>
    <xf numFmtId="0" fontId="0" fillId="0" borderId="0" xfId="0" applyAlignment="1">
      <alignment horizontal="left" wrapText="1"/>
    </xf>
    <xf numFmtId="0" fontId="10" fillId="0" borderId="1" xfId="0" applyFont="1" applyFill="1" applyBorder="1" applyAlignment="1">
      <alignment horizontal="left" wrapText="1"/>
    </xf>
    <xf numFmtId="0" fontId="8" fillId="0" borderId="0" xfId="0" applyFont="1" applyFill="1" applyAlignment="1">
      <alignment horizontal="left" vertical="center" wrapText="1"/>
    </xf>
    <xf numFmtId="0" fontId="0" fillId="0" borderId="0" xfId="0" quotePrefix="1" applyAlignment="1">
      <alignment horizontal="left" wrapText="1"/>
    </xf>
    <xf numFmtId="0" fontId="35" fillId="0" borderId="0" xfId="0" applyFont="1" applyFill="1" applyAlignment="1">
      <alignment horizontal="left" vertical="center" wrapText="1"/>
    </xf>
    <xf numFmtId="0" fontId="8" fillId="0" borderId="0" xfId="0" applyFont="1" applyFill="1" applyBorder="1" applyAlignment="1">
      <alignment horizontal="left" vertical="center" wrapText="1"/>
    </xf>
    <xf numFmtId="0" fontId="34" fillId="0" borderId="0" xfId="0" applyFont="1" applyFill="1" applyAlignment="1">
      <alignment horizontal="left" vertical="center" wrapText="1"/>
    </xf>
    <xf numFmtId="3" fontId="34" fillId="0" borderId="0" xfId="0" applyNumberFormat="1" applyFont="1" applyFill="1" applyAlignment="1">
      <alignment horizontal="left" wrapText="1"/>
    </xf>
    <xf numFmtId="0" fontId="0" fillId="0" borderId="0" xfId="0" applyFont="1" applyAlignment="1">
      <alignment horizontal="left" wrapText="1"/>
    </xf>
    <xf numFmtId="0" fontId="9" fillId="0" borderId="22"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22" xfId="7" applyFont="1" applyFill="1" applyBorder="1" applyAlignment="1">
      <alignment horizontal="center" vertical="center" wrapText="1"/>
    </xf>
    <xf numFmtId="0" fontId="8" fillId="0" borderId="0" xfId="0" applyFont="1" applyFill="1" applyAlignment="1">
      <alignment horizontal="left" vertical="center"/>
    </xf>
    <xf numFmtId="0" fontId="8" fillId="2" borderId="0" xfId="0" applyFont="1" applyFill="1" applyAlignment="1">
      <alignment horizontal="left" vertical="top" wrapText="1"/>
    </xf>
    <xf numFmtId="0" fontId="8" fillId="2" borderId="0" xfId="8" applyFont="1" applyFill="1" applyAlignment="1">
      <alignment horizontal="left" vertical="top" wrapText="1"/>
    </xf>
    <xf numFmtId="0" fontId="34" fillId="2" borderId="0" xfId="0" applyFont="1" applyFill="1" applyAlignment="1">
      <alignment horizontal="left" vertical="top" wrapText="1"/>
    </xf>
    <xf numFmtId="0" fontId="34" fillId="2" borderId="0" xfId="0" applyFont="1" applyFill="1" applyAlignment="1">
      <alignment horizontal="left" vertical="center" wrapText="1"/>
    </xf>
    <xf numFmtId="0" fontId="0" fillId="0" borderId="0" xfId="0" applyFont="1" applyFill="1" applyAlignment="1">
      <alignment wrapText="1"/>
    </xf>
    <xf numFmtId="0" fontId="8" fillId="2" borderId="0" xfId="0" applyFont="1" applyFill="1" applyBorder="1" applyAlignment="1">
      <alignment horizontal="left" vertical="center"/>
    </xf>
    <xf numFmtId="0" fontId="9" fillId="2" borderId="22" xfId="0" applyFont="1" applyFill="1" applyBorder="1" applyAlignment="1">
      <alignment horizontal="center" wrapText="1"/>
    </xf>
    <xf numFmtId="0" fontId="0" fillId="2" borderId="0" xfId="0" applyFill="1" applyAlignment="1">
      <alignment horizontal="left" wrapText="1"/>
    </xf>
    <xf numFmtId="0" fontId="8" fillId="2" borderId="0" xfId="0" applyFont="1" applyFill="1" applyBorder="1" applyAlignment="1">
      <alignment horizontal="left" vertical="top" wrapText="1"/>
    </xf>
    <xf numFmtId="0" fontId="34" fillId="2" borderId="0" xfId="0" applyFont="1" applyFill="1" applyAlignment="1">
      <alignment horizontal="left" wrapText="1"/>
    </xf>
    <xf numFmtId="0" fontId="34" fillId="0" borderId="0" xfId="0" applyFont="1" applyFill="1" applyBorder="1" applyAlignment="1">
      <alignment horizontal="left" vertical="center" wrapText="1"/>
    </xf>
    <xf numFmtId="0" fontId="8" fillId="0" borderId="0" xfId="11" applyFont="1" applyFill="1" applyBorder="1" applyAlignment="1">
      <alignment horizontal="left" vertical="center" wrapText="1"/>
    </xf>
    <xf numFmtId="0" fontId="14" fillId="0" borderId="1" xfId="0" applyFont="1" applyFill="1" applyBorder="1" applyAlignment="1">
      <alignment horizontal="center"/>
    </xf>
    <xf numFmtId="0" fontId="9" fillId="2" borderId="21" xfId="12" applyFont="1" applyFill="1" applyBorder="1" applyAlignment="1">
      <alignment horizontal="center" wrapText="1"/>
    </xf>
    <xf numFmtId="0" fontId="9" fillId="2" borderId="20" xfId="12" applyFont="1" applyFill="1" applyBorder="1" applyAlignment="1">
      <alignment horizontal="center" wrapText="1"/>
    </xf>
    <xf numFmtId="0" fontId="9" fillId="0" borderId="21" xfId="12" applyFont="1" applyFill="1" applyBorder="1" applyAlignment="1">
      <alignment horizontal="center" wrapText="1"/>
    </xf>
    <xf numFmtId="0" fontId="9" fillId="0" borderId="20" xfId="12" applyFont="1" applyFill="1" applyBorder="1" applyAlignment="1">
      <alignment horizontal="center" wrapText="1"/>
    </xf>
    <xf numFmtId="0" fontId="9" fillId="0" borderId="21" xfId="0" applyFont="1" applyFill="1" applyBorder="1" applyAlignment="1">
      <alignment horizontal="center" wrapText="1"/>
    </xf>
    <xf numFmtId="0" fontId="9" fillId="0" borderId="20" xfId="0" applyFont="1" applyFill="1" applyBorder="1" applyAlignment="1">
      <alignment horizontal="center" wrapText="1"/>
    </xf>
    <xf numFmtId="0" fontId="0" fillId="0" borderId="0" xfId="0" applyFont="1" applyAlignment="1">
      <alignment horizontal="left" vertical="center" wrapText="1"/>
    </xf>
    <xf numFmtId="0" fontId="14" fillId="0" borderId="9" xfId="14" applyFont="1" applyFill="1" applyBorder="1" applyAlignment="1">
      <alignment horizontal="center"/>
    </xf>
    <xf numFmtId="0" fontId="8" fillId="0" borderId="0" xfId="0" applyFont="1" applyFill="1" applyAlignment="1">
      <alignment horizontal="left" vertical="top" wrapText="1"/>
    </xf>
    <xf numFmtId="0" fontId="9" fillId="2" borderId="0" xfId="0" applyFont="1" applyFill="1" applyBorder="1" applyAlignment="1">
      <alignment horizontal="right"/>
    </xf>
    <xf numFmtId="0" fontId="10" fillId="2" borderId="0" xfId="0" applyFont="1" applyFill="1" applyBorder="1" applyAlignment="1">
      <alignment horizontal="left" wrapText="1"/>
    </xf>
    <xf numFmtId="0" fontId="0" fillId="0" borderId="1" xfId="0" applyBorder="1" applyAlignment="1">
      <alignment horizontal="center" vertical="center" wrapText="1"/>
    </xf>
    <xf numFmtId="0" fontId="0" fillId="0" borderId="1" xfId="0" applyBorder="1" applyAlignment="1">
      <alignment horizontal="center" wrapText="1"/>
    </xf>
    <xf numFmtId="0" fontId="22" fillId="0" borderId="1" xfId="0" applyFont="1" applyFill="1" applyBorder="1" applyAlignment="1">
      <alignment horizontal="right" wrapText="1"/>
    </xf>
    <xf numFmtId="0" fontId="16" fillId="0" borderId="0" xfId="18" applyFont="1" applyFill="1" applyAlignment="1">
      <alignment horizontal="left" vertical="top" wrapText="1"/>
    </xf>
    <xf numFmtId="0" fontId="34" fillId="0" borderId="0" xfId="0" applyFont="1" applyFill="1" applyAlignment="1">
      <alignment horizontal="left" wrapText="1"/>
    </xf>
    <xf numFmtId="0" fontId="9" fillId="0" borderId="1" xfId="0" applyFont="1" applyFill="1" applyBorder="1" applyAlignment="1">
      <alignment horizontal="center" wrapText="1"/>
    </xf>
    <xf numFmtId="0" fontId="9" fillId="0" borderId="1" xfId="4" applyFont="1" applyFill="1" applyBorder="1" applyAlignment="1">
      <alignment horizontal="right"/>
    </xf>
    <xf numFmtId="0" fontId="9" fillId="0" borderId="1" xfId="0" applyFont="1" applyFill="1" applyBorder="1" applyAlignment="1">
      <alignment horizontal="center"/>
    </xf>
    <xf numFmtId="0" fontId="9" fillId="0" borderId="12" xfId="0" applyFont="1" applyFill="1" applyBorder="1" applyAlignment="1">
      <alignment horizontal="center"/>
    </xf>
    <xf numFmtId="0" fontId="9" fillId="0" borderId="1" xfId="4" applyFont="1" applyFill="1" applyBorder="1" applyAlignment="1">
      <alignment horizontal="center"/>
    </xf>
    <xf numFmtId="14" fontId="0" fillId="0" borderId="0" xfId="0" applyNumberFormat="1" applyAlignment="1">
      <alignment horizontal="left"/>
    </xf>
    <xf numFmtId="0" fontId="0" fillId="0" borderId="0" xfId="0" applyAlignment="1">
      <alignment horizontal="left"/>
    </xf>
  </cellXfs>
  <cellStyles count="23">
    <cellStyle name="Comma" xfId="1" builtinId="3"/>
    <cellStyle name="Comma 2" xfId="21"/>
    <cellStyle name="Comma 2 3" xfId="17"/>
    <cellStyle name="Heading 1 2" xfId="11"/>
    <cellStyle name="Heading 2 2" xfId="14"/>
    <cellStyle name="Hyperlink" xfId="3" builtinId="8"/>
    <cellStyle name="Normal" xfId="0" builtinId="0"/>
    <cellStyle name="Normal 16" xfId="18"/>
    <cellStyle name="Normal 2" xfId="20"/>
    <cellStyle name="Normal 2 2 3" xfId="4"/>
    <cellStyle name="Normal 3 2" xfId="16"/>
    <cellStyle name="Normal 4" xfId="6"/>
    <cellStyle name="Normal_Attacks Scotland" xfId="13"/>
    <cellStyle name="Normal_Ethnicity" xfId="10"/>
    <cellStyle name="Normal_new attacks" xfId="12"/>
    <cellStyle name="Normal_Sheet1" xfId="5"/>
    <cellStyle name="Normal_Sheet2" xfId="7"/>
    <cellStyle name="Normal_Sheet7" xfId="19"/>
    <cellStyle name="Normal_Table 2a" xfId="9"/>
    <cellStyle name="Percent" xfId="2" builtinId="5"/>
    <cellStyle name="Percent 2" xfId="15"/>
    <cellStyle name="Percent 3" xfId="22"/>
    <cellStyle name="Title 2" xfId="8"/>
  </cellStyles>
  <dxfs count="32">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solid">
          <fgColor indexed="64"/>
          <bgColor theme="2"/>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s>
  <tableStyles count="0" defaultTableStyle="TableStyleMedium2" defaultPivotStyle="PivotStyleLight16"/>
  <colors>
    <mruColors>
      <color rgb="FFD06800"/>
      <color rgb="FFEE9F00"/>
      <color rgb="FF86C45C"/>
      <color rgb="FF74B943"/>
      <color rgb="FF81C1B0"/>
      <color rgb="FF4E7AB0"/>
      <color rgb="FF8486B4"/>
      <color rgb="FF99252E"/>
      <color rgb="FFFFAFF0"/>
      <color rgb="FFCF9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pivotCacheDefinition" Target="pivotCache/pivotCacheDefinition14.xml"/><Relationship Id="rId170" Type="http://schemas.openxmlformats.org/officeDocument/2006/relationships/pivotCacheDefinition" Target="pivotCache/pivotCacheDefinition25.xml"/><Relationship Id="rId191" Type="http://schemas.microsoft.com/office/2007/relationships/slicerCache" Target="slicerCaches/slicerCache13.xml"/><Relationship Id="rId205" Type="http://schemas.microsoft.com/office/2007/relationships/slicerCache" Target="slicerCaches/slicerCache2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pivotCacheDefinition" Target="pivotCache/pivotCacheDefinition4.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pivotCacheDefinition" Target="pivotCache/pivotCacheDefinition15.xml"/><Relationship Id="rId181" Type="http://schemas.microsoft.com/office/2007/relationships/slicerCache" Target="slicerCaches/slicerCache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pivotCacheDefinition" Target="pivotCache/pivotCacheDefinition5.xml"/><Relationship Id="rId171" Type="http://schemas.openxmlformats.org/officeDocument/2006/relationships/pivotCacheDefinition" Target="pivotCache/pivotCacheDefinition26.xml"/><Relationship Id="rId192" Type="http://schemas.microsoft.com/office/2007/relationships/slicerCache" Target="slicerCaches/slicerCache14.xml"/><Relationship Id="rId206"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pivotCacheDefinition" Target="pivotCache/pivotCacheDefinition16.xml"/><Relationship Id="rId182" Type="http://schemas.microsoft.com/office/2007/relationships/slicerCache" Target="slicerCaches/slicerCache4.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pivotCacheDefinition" Target="pivotCache/pivotCacheDefinition6.xml"/><Relationship Id="rId172" Type="http://schemas.openxmlformats.org/officeDocument/2006/relationships/pivotCacheDefinition" Target="pivotCache/pivotCacheDefinition27.xml"/><Relationship Id="rId193" Type="http://schemas.microsoft.com/office/2007/relationships/slicerCache" Target="slicerCaches/slicerCache15.xml"/><Relationship Id="rId207"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pivotCacheDefinition" Target="pivotCache/pivotCacheDefinition17.xml"/><Relationship Id="rId183" Type="http://schemas.microsoft.com/office/2007/relationships/slicerCache" Target="slicerCaches/slicerCache5.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pivotCacheDefinition" Target="pivotCache/pivotCacheDefinition7.xml"/><Relationship Id="rId173" Type="http://schemas.openxmlformats.org/officeDocument/2006/relationships/pivotCacheDefinition" Target="pivotCache/pivotCacheDefinition28.xml"/><Relationship Id="rId194" Type="http://schemas.microsoft.com/office/2007/relationships/slicerCache" Target="slicerCaches/slicerCache16.xml"/><Relationship Id="rId208"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pivotCacheDefinition" Target="pivotCache/pivotCacheDefinition2.xml"/><Relationship Id="rId168" Type="http://schemas.openxmlformats.org/officeDocument/2006/relationships/pivotCacheDefinition" Target="pivotCache/pivotCacheDefinition2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pivotCacheDefinition" Target="pivotCache/pivotCacheDefinition18.xml"/><Relationship Id="rId184" Type="http://schemas.microsoft.com/office/2007/relationships/slicerCache" Target="slicerCaches/slicerCache6.xml"/><Relationship Id="rId189" Type="http://schemas.microsoft.com/office/2007/relationships/slicerCache" Target="slicerCaches/slicerCache1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pivotCacheDefinition" Target="pivotCache/pivotCacheDefinition1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pivotCacheDefinition" Target="pivotCache/pivotCacheDefinition8.xml"/><Relationship Id="rId174" Type="http://schemas.openxmlformats.org/officeDocument/2006/relationships/pivotCacheDefinition" Target="pivotCache/pivotCacheDefinition29.xml"/><Relationship Id="rId179" Type="http://schemas.microsoft.com/office/2007/relationships/slicerCache" Target="slicerCaches/slicerCache1.xml"/><Relationship Id="rId195" Type="http://schemas.microsoft.com/office/2007/relationships/slicerCache" Target="slicerCaches/slicerCache17.xml"/><Relationship Id="rId209" Type="http://schemas.openxmlformats.org/officeDocument/2006/relationships/calcChain" Target="calcChain.xml"/><Relationship Id="rId190" Type="http://schemas.microsoft.com/office/2007/relationships/slicerCache" Target="slicerCaches/slicerCache12.xml"/><Relationship Id="rId204" Type="http://schemas.microsoft.com/office/2007/relationships/slicerCache" Target="slicerCaches/slicerCache2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pivotCacheDefinition" Target="pivotCache/pivotCacheDefinition3.xml"/><Relationship Id="rId164" Type="http://schemas.openxmlformats.org/officeDocument/2006/relationships/pivotCacheDefinition" Target="pivotCache/pivotCacheDefinition19.xml"/><Relationship Id="rId169" Type="http://schemas.openxmlformats.org/officeDocument/2006/relationships/pivotCacheDefinition" Target="pivotCache/pivotCacheDefinition24.xml"/><Relationship Id="rId185"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80" Type="http://schemas.microsoft.com/office/2007/relationships/slicerCache" Target="slicerCaches/slicerCache2.xml"/><Relationship Id="rId210" Type="http://schemas.openxmlformats.org/officeDocument/2006/relationships/customXml" Target="../customXml/item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pivotCacheDefinition" Target="pivotCache/pivotCacheDefinition9.xml"/><Relationship Id="rId175" Type="http://schemas.openxmlformats.org/officeDocument/2006/relationships/pivotCacheDefinition" Target="pivotCache/pivotCacheDefinition30.xml"/><Relationship Id="rId196" Type="http://schemas.microsoft.com/office/2007/relationships/slicerCache" Target="slicerCaches/slicerCache18.xml"/><Relationship Id="rId200" Type="http://schemas.microsoft.com/office/2007/relationships/slicerCache" Target="slicerCaches/slicerCache2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1.xml"/><Relationship Id="rId90" Type="http://schemas.openxmlformats.org/officeDocument/2006/relationships/worksheet" Target="worksheets/sheet90.xml"/><Relationship Id="rId165" Type="http://schemas.openxmlformats.org/officeDocument/2006/relationships/pivotCacheDefinition" Target="pivotCache/pivotCacheDefinition20.xml"/><Relationship Id="rId186" Type="http://schemas.microsoft.com/office/2007/relationships/slicerCache" Target="slicerCaches/slicerCache8.xml"/><Relationship Id="rId211" Type="http://schemas.openxmlformats.org/officeDocument/2006/relationships/customXml" Target="../customXml/item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pivotCacheDefinition" Target="pivotCache/pivotCacheDefinition10.xml"/><Relationship Id="rId176" Type="http://schemas.openxmlformats.org/officeDocument/2006/relationships/pivotCacheDefinition" Target="pivotCache/pivotCacheDefinition31.xml"/><Relationship Id="rId197" Type="http://schemas.microsoft.com/office/2007/relationships/slicerCache" Target="slicerCaches/slicerCache19.xml"/><Relationship Id="rId201" Type="http://schemas.microsoft.com/office/2007/relationships/slicerCache" Target="slicerCaches/slicerCache2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2.xml"/><Relationship Id="rId166" Type="http://schemas.openxmlformats.org/officeDocument/2006/relationships/pivotCacheDefinition" Target="pivotCache/pivotCacheDefinition21.xml"/><Relationship Id="rId187" Type="http://schemas.microsoft.com/office/2007/relationships/slicerCache" Target="slicerCaches/slicerCache9.xml"/><Relationship Id="rId1" Type="http://schemas.openxmlformats.org/officeDocument/2006/relationships/worksheet" Target="worksheets/sheet1.xml"/><Relationship Id="rId212" Type="http://schemas.openxmlformats.org/officeDocument/2006/relationships/customXml" Target="../customXml/item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pivotCacheDefinition" Target="pivotCache/pivotCacheDefinition11.xml"/><Relationship Id="rId177" Type="http://schemas.openxmlformats.org/officeDocument/2006/relationships/pivotCacheDefinition" Target="pivotCache/pivotCacheDefinition32.xml"/><Relationship Id="rId198" Type="http://schemas.microsoft.com/office/2007/relationships/slicerCache" Target="slicerCaches/slicerCache20.xml"/><Relationship Id="rId202" Type="http://schemas.microsoft.com/office/2007/relationships/slicerCache" Target="slicerCaches/slicerCache2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pivotCacheDefinition" Target="pivotCache/pivotCacheDefinition1.xml"/><Relationship Id="rId167" Type="http://schemas.openxmlformats.org/officeDocument/2006/relationships/pivotCacheDefinition" Target="pivotCache/pivotCacheDefinition22.xml"/><Relationship Id="rId188" Type="http://schemas.microsoft.com/office/2007/relationships/slicerCache" Target="slicerCaches/slicerCache10.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pivotCacheDefinition" Target="pivotCache/pivotCacheDefinition12.xml"/><Relationship Id="rId178" Type="http://schemas.openxmlformats.org/officeDocument/2006/relationships/pivotCacheDefinition" Target="pivotCache/pivotCacheDefinition33.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microsoft.com/office/2007/relationships/slicerCache" Target="slicerCaches/slicerCache21.xml"/><Relationship Id="rId203" Type="http://schemas.microsoft.com/office/2007/relationships/slicerCache" Target="slicerCaches/slicerCache2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1"/>
          <c:order val="0"/>
          <c:spPr>
            <a:ln>
              <a:noFill/>
            </a:ln>
          </c:spPr>
          <c:dPt>
            <c:idx val="0"/>
            <c:bubble3D val="0"/>
            <c:spPr>
              <a:solidFill>
                <a:srgbClr val="99252E"/>
              </a:solidFill>
              <a:ln w="19050">
                <a:noFill/>
              </a:ln>
              <a:effectLst/>
            </c:spPr>
          </c:dPt>
          <c:dPt>
            <c:idx val="1"/>
            <c:bubble3D val="0"/>
            <c:spPr>
              <a:solidFill>
                <a:srgbClr val="4E7AB0"/>
              </a:solidFill>
              <a:ln w="19050">
                <a:noFill/>
              </a:ln>
              <a:effectLst/>
            </c:spPr>
          </c:dPt>
          <c:dPt>
            <c:idx val="2"/>
            <c:bubble3D val="0"/>
            <c:spPr>
              <a:solidFill>
                <a:srgbClr val="8486B4"/>
              </a:solidFill>
              <a:ln w="19050">
                <a:noFill/>
              </a:ln>
              <a:effectLst/>
            </c:spPr>
          </c:dPt>
          <c:dPt>
            <c:idx val="3"/>
            <c:bubble3D val="0"/>
            <c:spPr>
              <a:solidFill>
                <a:schemeClr val="accent4"/>
              </a:solidFill>
              <a:ln w="19050">
                <a:noFill/>
              </a:ln>
              <a:effectLst/>
            </c:spPr>
          </c:dPt>
          <c:dPt>
            <c:idx val="4"/>
            <c:bubble3D val="0"/>
            <c:spPr>
              <a:solidFill>
                <a:schemeClr val="accent5"/>
              </a:solidFill>
              <a:ln w="19050">
                <a:noFill/>
              </a:ln>
              <a:effectLst/>
            </c:spPr>
          </c:dPt>
          <c:cat>
            <c:strRef>
              <c:f>'Chart - Station Type'!$B$6:$B$10</c:f>
              <c:strCache>
                <c:ptCount val="5"/>
                <c:pt idx="0">
                  <c:v>Wholetime</c:v>
                </c:pt>
                <c:pt idx="1">
                  <c:v>Wholetime and Day</c:v>
                </c:pt>
                <c:pt idx="2">
                  <c:v>Wholetime and Retained</c:v>
                </c:pt>
                <c:pt idx="3">
                  <c:v>Retained</c:v>
                </c:pt>
                <c:pt idx="4">
                  <c:v>Volunteer</c:v>
                </c:pt>
              </c:strCache>
            </c:strRef>
          </c:cat>
          <c:val>
            <c:numRef>
              <c:f>'Chart - Station Type'!$F$6:$F$10</c:f>
              <c:numCache>
                <c:formatCode>General</c:formatCode>
                <c:ptCount val="5"/>
                <c:pt idx="0">
                  <c:v>74</c:v>
                </c:pt>
                <c:pt idx="1">
                  <c:v>240</c:v>
                </c:pt>
                <c:pt idx="2">
                  <c:v>42</c:v>
                </c:pt>
              </c:numCache>
            </c:numRef>
          </c:val>
        </c:ser>
        <c:ser>
          <c:idx val="0"/>
          <c:order val="1"/>
          <c:spPr>
            <a:ln>
              <a:noFill/>
            </a:ln>
          </c:spPr>
          <c:dPt>
            <c:idx val="0"/>
            <c:bubble3D val="0"/>
            <c:spPr>
              <a:solidFill>
                <a:srgbClr val="99252E"/>
              </a:solidFill>
              <a:ln w="19050">
                <a:noFill/>
              </a:ln>
              <a:effectLst/>
            </c:spPr>
          </c:dPt>
          <c:dPt>
            <c:idx val="1"/>
            <c:bubble3D val="0"/>
            <c:spPr>
              <a:solidFill>
                <a:srgbClr val="FFFF00"/>
              </a:solidFill>
              <a:ln w="19050">
                <a:noFill/>
              </a:ln>
              <a:effectLst/>
            </c:spPr>
          </c:dPt>
          <c:dPt>
            <c:idx val="2"/>
            <c:bubble3D val="0"/>
            <c:spPr>
              <a:solidFill>
                <a:srgbClr val="81C1B0"/>
              </a:solidFill>
              <a:ln w="19050">
                <a:noFill/>
              </a:ln>
              <a:effectLst/>
            </c:spPr>
          </c:dPt>
          <c:dPt>
            <c:idx val="3"/>
            <c:bubble3D val="0"/>
            <c:spPr>
              <a:noFill/>
              <a:ln w="19050">
                <a:noFill/>
              </a:ln>
              <a:effectLst/>
            </c:spPr>
          </c:dPt>
          <c:dPt>
            <c:idx val="4"/>
            <c:bubble3D val="0"/>
            <c:spPr>
              <a:noFill/>
              <a:ln w="19050">
                <a:noFill/>
              </a:ln>
              <a:effectLst/>
            </c:spPr>
          </c:dPt>
          <c:dLbls>
            <c:dLbl>
              <c:idx val="0"/>
              <c:layout>
                <c:manualLayout>
                  <c:x val="0.11258278145695372"/>
                  <c:y val="-7.1197411003236247E-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14348785871964681"/>
                  <c:y val="-4.5307443365695824E-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2"/>
              <c:layout>
                <c:manualLayout>
                  <c:x val="0.141280353200883"/>
                  <c:y val="6.4724919093851136E-3"/>
                </c:manualLayout>
              </c:layout>
              <c:showLegendKey val="0"/>
              <c:showVal val="1"/>
              <c:showCatName val="1"/>
              <c:showSerName val="0"/>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'Chart - Station Type'!$B$6:$B$10</c:f>
              <c:strCache>
                <c:ptCount val="5"/>
                <c:pt idx="0">
                  <c:v>Wholetime</c:v>
                </c:pt>
                <c:pt idx="1">
                  <c:v>Wholetime and Day</c:v>
                </c:pt>
                <c:pt idx="2">
                  <c:v>Wholetime and Retained</c:v>
                </c:pt>
                <c:pt idx="3">
                  <c:v>Retained</c:v>
                </c:pt>
                <c:pt idx="4">
                  <c:v>Volunteer</c:v>
                </c:pt>
              </c:strCache>
            </c:strRef>
          </c:cat>
          <c:val>
            <c:numRef>
              <c:f>'Chart - Station Type'!$C$6:$C$10</c:f>
              <c:numCache>
                <c:formatCode>General</c:formatCode>
                <c:ptCount val="5"/>
                <c:pt idx="0">
                  <c:v>50</c:v>
                </c:pt>
                <c:pt idx="1">
                  <c:v>1</c:v>
                </c:pt>
                <c:pt idx="2">
                  <c:v>23</c:v>
                </c:pt>
                <c:pt idx="3">
                  <c:v>240</c:v>
                </c:pt>
                <c:pt idx="4">
                  <c:v>42</c:v>
                </c:pt>
              </c:numCache>
            </c:numRef>
          </c:val>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840817902749681E-2"/>
          <c:y val="0.19020986918467858"/>
          <c:w val="0.92960355017966889"/>
          <c:h val="0.63652623103386974"/>
        </c:manualLayout>
      </c:layout>
      <c:barChart>
        <c:barDir val="col"/>
        <c:grouping val="clustered"/>
        <c:varyColors val="0"/>
        <c:ser>
          <c:idx val="0"/>
          <c:order val="0"/>
          <c:tx>
            <c:strRef>
              <c:f>'T10'!$D$4</c:f>
              <c:strCache>
                <c:ptCount val="1"/>
                <c:pt idx="0">
                  <c:v>WT</c:v>
                </c:pt>
              </c:strCache>
            </c:strRef>
          </c:tx>
          <c:spPr>
            <a:solidFill>
              <a:schemeClr val="bg1">
                <a:lumMod val="75000"/>
              </a:schemeClr>
            </a:solidFill>
            <a:ln>
              <a:solidFill>
                <a:schemeClr val="bg1">
                  <a:lumMod val="65000"/>
                </a:schemeClr>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'T10'!$D$21:$D$29</c:f>
              <c:numCache>
                <c:formatCode>General</c:formatCode>
                <c:ptCount val="9"/>
                <c:pt idx="0">
                  <c:v>1</c:v>
                </c:pt>
                <c:pt idx="1">
                  <c:v>0</c:v>
                </c:pt>
                <c:pt idx="2">
                  <c:v>0</c:v>
                </c:pt>
                <c:pt idx="3">
                  <c:v>0</c:v>
                </c:pt>
                <c:pt idx="4">
                  <c:v>38</c:v>
                </c:pt>
                <c:pt idx="5">
                  <c:v>145</c:v>
                </c:pt>
                <c:pt idx="6">
                  <c:v>438</c:v>
                </c:pt>
                <c:pt idx="7">
                  <c:v>667</c:v>
                </c:pt>
                <c:pt idx="8">
                  <c:v>752</c:v>
                </c:pt>
              </c:numCache>
            </c:numRef>
          </c:val>
          <c:extLst xmlns:c16r2="http://schemas.microsoft.com/office/drawing/2015/06/chart">
            <c:ext xmlns:c16="http://schemas.microsoft.com/office/drawing/2014/chart" uri="{C3380CC4-5D6E-409C-BE32-E72D297353CC}">
              <c16:uniqueId val="{00000000-2ABC-4D39-97B7-1354C45C4C24}"/>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25"/>
        <c:axId val="224267904"/>
        <c:axId val="226249600"/>
      </c:barChart>
      <c:catAx>
        <c:axId val="224267904"/>
        <c:scaling>
          <c:orientation val="minMax"/>
        </c:scaling>
        <c:delete val="0"/>
        <c:axPos val="b"/>
        <c:numFmt formatCode="General" sourceLinked="1"/>
        <c:majorTickMark val="out"/>
        <c:minorTickMark val="none"/>
        <c:tickLblPos val="nextTo"/>
        <c:spPr>
          <a:ln>
            <a:noFill/>
          </a:ln>
        </c:spPr>
        <c:txPr>
          <a:bodyPr rot="5400000" vert="horz"/>
          <a:lstStyle/>
          <a:p>
            <a:pPr>
              <a:defRPr baseline="0">
                <a:solidFill>
                  <a:schemeClr val="tx1">
                    <a:lumMod val="85000"/>
                    <a:lumOff val="15000"/>
                  </a:schemeClr>
                </a:solidFill>
              </a:defRPr>
            </a:pPr>
            <a:endParaRPr lang="en-US"/>
          </a:p>
        </c:txPr>
        <c:crossAx val="226249600"/>
        <c:crosses val="autoZero"/>
        <c:auto val="1"/>
        <c:lblAlgn val="ctr"/>
        <c:lblOffset val="100"/>
        <c:noMultiLvlLbl val="0"/>
      </c:catAx>
      <c:valAx>
        <c:axId val="226249600"/>
        <c:scaling>
          <c:orientation val="minMax"/>
          <c:min val="0"/>
        </c:scaling>
        <c:delete val="1"/>
        <c:axPos val="l"/>
        <c:numFmt formatCode="General" sourceLinked="1"/>
        <c:majorTickMark val="out"/>
        <c:minorTickMark val="none"/>
        <c:tickLblPos val="nextTo"/>
        <c:crossAx val="22426790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840817902749681E-2"/>
          <c:y val="0.19020986918467858"/>
          <c:w val="0.92960355017966889"/>
          <c:h val="0.63652623103386974"/>
        </c:manualLayout>
      </c:layout>
      <c:barChart>
        <c:barDir val="col"/>
        <c:grouping val="clustered"/>
        <c:varyColors val="0"/>
        <c:ser>
          <c:idx val="0"/>
          <c:order val="0"/>
          <c:tx>
            <c:strRef>
              <c:f>'T10'!$G$4</c:f>
              <c:strCache>
                <c:ptCount val="1"/>
                <c:pt idx="0">
                  <c:v>Support</c:v>
                </c:pt>
              </c:strCache>
            </c:strRef>
          </c:tx>
          <c:spPr>
            <a:solidFill>
              <a:schemeClr val="bg1">
                <a:lumMod val="75000"/>
              </a:schemeClr>
            </a:solidFill>
            <a:ln>
              <a:solidFill>
                <a:schemeClr val="bg1">
                  <a:lumMod val="65000"/>
                </a:schemeClr>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'T10'!$G$21:$G$29</c:f>
              <c:numCache>
                <c:formatCode>General</c:formatCode>
                <c:ptCount val="9"/>
                <c:pt idx="0">
                  <c:v>93</c:v>
                </c:pt>
                <c:pt idx="1">
                  <c:v>17</c:v>
                </c:pt>
                <c:pt idx="2">
                  <c:v>6</c:v>
                </c:pt>
                <c:pt idx="3">
                  <c:v>0</c:v>
                </c:pt>
                <c:pt idx="4">
                  <c:v>20</c:v>
                </c:pt>
                <c:pt idx="5">
                  <c:v>45</c:v>
                </c:pt>
                <c:pt idx="6">
                  <c:v>64</c:v>
                </c:pt>
                <c:pt idx="7">
                  <c:v>73</c:v>
                </c:pt>
                <c:pt idx="8">
                  <c:v>102</c:v>
                </c:pt>
              </c:numCache>
            </c:numRef>
          </c:val>
          <c:extLst xmlns:c16r2="http://schemas.microsoft.com/office/drawing/2015/06/chart">
            <c:ext xmlns:c16="http://schemas.microsoft.com/office/drawing/2014/chart" uri="{C3380CC4-5D6E-409C-BE32-E72D297353CC}">
              <c16:uniqueId val="{00000000-C827-4BCC-A801-1AC8A291A7FB}"/>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25"/>
        <c:axId val="226290168"/>
        <c:axId val="225849760"/>
      </c:barChart>
      <c:catAx>
        <c:axId val="226290168"/>
        <c:scaling>
          <c:orientation val="minMax"/>
        </c:scaling>
        <c:delete val="0"/>
        <c:axPos val="b"/>
        <c:numFmt formatCode="General" sourceLinked="1"/>
        <c:majorTickMark val="out"/>
        <c:minorTickMark val="none"/>
        <c:tickLblPos val="nextTo"/>
        <c:spPr>
          <a:ln>
            <a:noFill/>
          </a:ln>
        </c:spPr>
        <c:txPr>
          <a:bodyPr rot="5400000" vert="horz"/>
          <a:lstStyle/>
          <a:p>
            <a:pPr>
              <a:defRPr baseline="0">
                <a:solidFill>
                  <a:schemeClr val="tx1">
                    <a:lumMod val="85000"/>
                    <a:lumOff val="15000"/>
                  </a:schemeClr>
                </a:solidFill>
              </a:defRPr>
            </a:pPr>
            <a:endParaRPr lang="en-US"/>
          </a:p>
        </c:txPr>
        <c:crossAx val="225849760"/>
        <c:crosses val="autoZero"/>
        <c:auto val="1"/>
        <c:lblAlgn val="ctr"/>
        <c:lblOffset val="100"/>
        <c:noMultiLvlLbl val="0"/>
      </c:catAx>
      <c:valAx>
        <c:axId val="225849760"/>
        <c:scaling>
          <c:orientation val="minMax"/>
          <c:min val="0"/>
        </c:scaling>
        <c:delete val="1"/>
        <c:axPos val="l"/>
        <c:numFmt formatCode="General" sourceLinked="1"/>
        <c:majorTickMark val="out"/>
        <c:minorTickMark val="none"/>
        <c:tickLblPos val="nextTo"/>
        <c:crossAx val="22629016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840817902749681E-2"/>
          <c:y val="0.19020986918467858"/>
          <c:w val="0.92960355017966889"/>
          <c:h val="0.63652623103386974"/>
        </c:manualLayout>
      </c:layout>
      <c:barChart>
        <c:barDir val="col"/>
        <c:grouping val="clustered"/>
        <c:varyColors val="0"/>
        <c:ser>
          <c:idx val="0"/>
          <c:order val="0"/>
          <c:tx>
            <c:strRef>
              <c:f>'T10'!$F$4</c:f>
              <c:strCache>
                <c:ptCount val="1"/>
                <c:pt idx="0">
                  <c:v>Control</c:v>
                </c:pt>
              </c:strCache>
            </c:strRef>
          </c:tx>
          <c:spPr>
            <a:solidFill>
              <a:schemeClr val="bg1">
                <a:lumMod val="75000"/>
              </a:schemeClr>
            </a:solidFill>
            <a:ln>
              <a:solidFill>
                <a:schemeClr val="bg1">
                  <a:lumMod val="65000"/>
                </a:schemeClr>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'T10'!$F$21:$F$29</c:f>
              <c:numCache>
                <c:formatCode>General</c:formatCode>
                <c:ptCount val="9"/>
                <c:pt idx="0">
                  <c:v>4</c:v>
                </c:pt>
                <c:pt idx="1">
                  <c:v>0</c:v>
                </c:pt>
                <c:pt idx="2">
                  <c:v>0</c:v>
                </c:pt>
                <c:pt idx="3">
                  <c:v>0</c:v>
                </c:pt>
                <c:pt idx="4">
                  <c:v>5</c:v>
                </c:pt>
                <c:pt idx="5">
                  <c:v>14</c:v>
                </c:pt>
                <c:pt idx="6">
                  <c:v>15</c:v>
                </c:pt>
                <c:pt idx="7">
                  <c:v>23</c:v>
                </c:pt>
                <c:pt idx="8">
                  <c:v>29</c:v>
                </c:pt>
              </c:numCache>
            </c:numRef>
          </c:val>
          <c:extLst xmlns:c16r2="http://schemas.microsoft.com/office/drawing/2015/06/chart">
            <c:ext xmlns:c16="http://schemas.microsoft.com/office/drawing/2014/chart" uri="{C3380CC4-5D6E-409C-BE32-E72D297353CC}">
              <c16:uniqueId val="{00000000-449C-4739-B411-C18B2834B336}"/>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25"/>
        <c:axId val="225922864"/>
        <c:axId val="228137176"/>
      </c:barChart>
      <c:catAx>
        <c:axId val="225922864"/>
        <c:scaling>
          <c:orientation val="minMax"/>
        </c:scaling>
        <c:delete val="0"/>
        <c:axPos val="b"/>
        <c:numFmt formatCode="General" sourceLinked="1"/>
        <c:majorTickMark val="out"/>
        <c:minorTickMark val="none"/>
        <c:tickLblPos val="nextTo"/>
        <c:spPr>
          <a:ln>
            <a:noFill/>
          </a:ln>
        </c:spPr>
        <c:txPr>
          <a:bodyPr rot="5400000" vert="horz"/>
          <a:lstStyle/>
          <a:p>
            <a:pPr>
              <a:defRPr baseline="0">
                <a:solidFill>
                  <a:schemeClr val="tx1">
                    <a:lumMod val="85000"/>
                    <a:lumOff val="15000"/>
                  </a:schemeClr>
                </a:solidFill>
              </a:defRPr>
            </a:pPr>
            <a:endParaRPr lang="en-US"/>
          </a:p>
        </c:txPr>
        <c:crossAx val="228137176"/>
        <c:crosses val="autoZero"/>
        <c:auto val="1"/>
        <c:lblAlgn val="ctr"/>
        <c:lblOffset val="100"/>
        <c:noMultiLvlLbl val="0"/>
      </c:catAx>
      <c:valAx>
        <c:axId val="228137176"/>
        <c:scaling>
          <c:orientation val="minMax"/>
          <c:min val="0"/>
        </c:scaling>
        <c:delete val="1"/>
        <c:axPos val="l"/>
        <c:numFmt formatCode="General" sourceLinked="1"/>
        <c:majorTickMark val="out"/>
        <c:minorTickMark val="none"/>
        <c:tickLblPos val="nextTo"/>
        <c:crossAx val="22592286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840817902749681E-2"/>
          <c:y val="0.19020986918467858"/>
          <c:w val="0.92960355017966889"/>
          <c:h val="0.63652623103386974"/>
        </c:manualLayout>
      </c:layout>
      <c:barChart>
        <c:barDir val="col"/>
        <c:grouping val="clustered"/>
        <c:varyColors val="0"/>
        <c:ser>
          <c:idx val="0"/>
          <c:order val="0"/>
          <c:tx>
            <c:strRef>
              <c:f>'T10'!$C$4</c:f>
              <c:strCache>
                <c:ptCount val="1"/>
                <c:pt idx="0">
                  <c:v>Total</c:v>
                </c:pt>
              </c:strCache>
            </c:strRef>
          </c:tx>
          <c:spPr>
            <a:solidFill>
              <a:schemeClr val="bg1">
                <a:lumMod val="75000"/>
              </a:schemeClr>
            </a:solidFill>
            <a:ln>
              <a:solidFill>
                <a:schemeClr val="bg1">
                  <a:lumMod val="65000"/>
                </a:schemeClr>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'T10'!$C$21:$C$29</c:f>
              <c:numCache>
                <c:formatCode>General</c:formatCode>
                <c:ptCount val="9"/>
                <c:pt idx="0">
                  <c:v>178</c:v>
                </c:pt>
                <c:pt idx="1">
                  <c:v>20</c:v>
                </c:pt>
                <c:pt idx="2">
                  <c:v>6</c:v>
                </c:pt>
                <c:pt idx="3">
                  <c:v>28</c:v>
                </c:pt>
                <c:pt idx="4">
                  <c:v>258</c:v>
                </c:pt>
                <c:pt idx="5">
                  <c:v>507</c:v>
                </c:pt>
                <c:pt idx="6">
                  <c:v>879</c:v>
                </c:pt>
                <c:pt idx="7">
                  <c:v>1145</c:v>
                </c:pt>
                <c:pt idx="8">
                  <c:v>1387</c:v>
                </c:pt>
              </c:numCache>
            </c:numRef>
          </c:val>
          <c:extLst xmlns:c16r2="http://schemas.microsoft.com/office/drawing/2015/06/chart">
            <c:ext xmlns:c16="http://schemas.microsoft.com/office/drawing/2014/chart" uri="{C3380CC4-5D6E-409C-BE32-E72D297353CC}">
              <c16:uniqueId val="{00000000-195E-4371-80F0-24CC3F870492}"/>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25"/>
        <c:axId val="228137560"/>
        <c:axId val="164326024"/>
      </c:barChart>
      <c:catAx>
        <c:axId val="228137560"/>
        <c:scaling>
          <c:orientation val="minMax"/>
        </c:scaling>
        <c:delete val="0"/>
        <c:axPos val="b"/>
        <c:numFmt formatCode="General" sourceLinked="1"/>
        <c:majorTickMark val="out"/>
        <c:minorTickMark val="none"/>
        <c:tickLblPos val="nextTo"/>
        <c:spPr>
          <a:ln>
            <a:noFill/>
          </a:ln>
        </c:spPr>
        <c:txPr>
          <a:bodyPr rot="5400000" vert="horz"/>
          <a:lstStyle/>
          <a:p>
            <a:pPr>
              <a:defRPr baseline="0">
                <a:solidFill>
                  <a:schemeClr val="tx1">
                    <a:lumMod val="85000"/>
                    <a:lumOff val="15000"/>
                  </a:schemeClr>
                </a:solidFill>
              </a:defRPr>
            </a:pPr>
            <a:endParaRPr lang="en-US"/>
          </a:p>
        </c:txPr>
        <c:crossAx val="164326024"/>
        <c:crosses val="autoZero"/>
        <c:auto val="1"/>
        <c:lblAlgn val="ctr"/>
        <c:lblOffset val="100"/>
        <c:noMultiLvlLbl val="0"/>
      </c:catAx>
      <c:valAx>
        <c:axId val="164326024"/>
        <c:scaling>
          <c:orientation val="minMax"/>
          <c:min val="0"/>
        </c:scaling>
        <c:delete val="1"/>
        <c:axPos val="l"/>
        <c:numFmt formatCode="General" sourceLinked="1"/>
        <c:majorTickMark val="out"/>
        <c:minorTickMark val="none"/>
        <c:tickLblPos val="nextTo"/>
        <c:crossAx val="22813756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840817902749681E-2"/>
          <c:y val="0.19020986918467858"/>
          <c:w val="0.92960355017966889"/>
          <c:h val="0.63652623103386974"/>
        </c:manualLayout>
      </c:layout>
      <c:barChart>
        <c:barDir val="col"/>
        <c:grouping val="clustered"/>
        <c:varyColors val="0"/>
        <c:ser>
          <c:idx val="0"/>
          <c:order val="0"/>
          <c:tx>
            <c:strRef>
              <c:f>'T10'!$E$4</c:f>
              <c:strCache>
                <c:ptCount val="1"/>
                <c:pt idx="0">
                  <c:v>RDS</c:v>
                </c:pt>
              </c:strCache>
            </c:strRef>
          </c:tx>
          <c:spPr>
            <a:solidFill>
              <a:schemeClr val="bg1">
                <a:lumMod val="75000"/>
              </a:schemeClr>
            </a:solidFill>
            <a:ln>
              <a:solidFill>
                <a:schemeClr val="bg1">
                  <a:lumMod val="65000"/>
                </a:schemeClr>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'T10'!$E$21:$E$29</c:f>
              <c:numCache>
                <c:formatCode>General</c:formatCode>
                <c:ptCount val="9"/>
                <c:pt idx="0">
                  <c:v>71</c:v>
                </c:pt>
                <c:pt idx="1">
                  <c:v>2</c:v>
                </c:pt>
                <c:pt idx="2">
                  <c:v>0</c:v>
                </c:pt>
                <c:pt idx="3">
                  <c:v>7</c:v>
                </c:pt>
                <c:pt idx="4">
                  <c:v>180</c:v>
                </c:pt>
                <c:pt idx="5">
                  <c:v>283</c:v>
                </c:pt>
                <c:pt idx="6">
                  <c:v>335</c:v>
                </c:pt>
                <c:pt idx="7">
                  <c:v>352</c:v>
                </c:pt>
                <c:pt idx="8">
                  <c:v>456</c:v>
                </c:pt>
              </c:numCache>
            </c:numRef>
          </c:val>
          <c:extLst xmlns:c16r2="http://schemas.microsoft.com/office/drawing/2015/06/chart">
            <c:ext xmlns:c16="http://schemas.microsoft.com/office/drawing/2014/chart" uri="{C3380CC4-5D6E-409C-BE32-E72D297353CC}">
              <c16:uniqueId val="{00000000-69D9-41AA-81FF-C0F924CE5974}"/>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25"/>
        <c:axId val="227874440"/>
        <c:axId val="227874832"/>
      </c:barChart>
      <c:catAx>
        <c:axId val="227874440"/>
        <c:scaling>
          <c:orientation val="minMax"/>
        </c:scaling>
        <c:delete val="0"/>
        <c:axPos val="b"/>
        <c:numFmt formatCode="General" sourceLinked="1"/>
        <c:majorTickMark val="out"/>
        <c:minorTickMark val="none"/>
        <c:tickLblPos val="nextTo"/>
        <c:spPr>
          <a:ln>
            <a:noFill/>
          </a:ln>
        </c:spPr>
        <c:txPr>
          <a:bodyPr rot="5400000" vert="horz"/>
          <a:lstStyle/>
          <a:p>
            <a:pPr>
              <a:defRPr baseline="0">
                <a:solidFill>
                  <a:schemeClr val="tx1">
                    <a:lumMod val="85000"/>
                    <a:lumOff val="15000"/>
                  </a:schemeClr>
                </a:solidFill>
              </a:defRPr>
            </a:pPr>
            <a:endParaRPr lang="en-US"/>
          </a:p>
        </c:txPr>
        <c:crossAx val="227874832"/>
        <c:crosses val="autoZero"/>
        <c:auto val="1"/>
        <c:lblAlgn val="ctr"/>
        <c:lblOffset val="100"/>
        <c:noMultiLvlLbl val="0"/>
      </c:catAx>
      <c:valAx>
        <c:axId val="227874832"/>
        <c:scaling>
          <c:orientation val="minMax"/>
          <c:min val="0"/>
        </c:scaling>
        <c:delete val="1"/>
        <c:axPos val="l"/>
        <c:numFmt formatCode="General" sourceLinked="1"/>
        <c:majorTickMark val="out"/>
        <c:minorTickMark val="none"/>
        <c:tickLblPos val="nextTo"/>
        <c:crossAx val="2278744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840817902749681E-2"/>
          <c:y val="0.19020986918467858"/>
          <c:w val="0.92960355017966889"/>
          <c:h val="0.63652623103386974"/>
        </c:manualLayout>
      </c:layout>
      <c:barChart>
        <c:barDir val="col"/>
        <c:grouping val="clustered"/>
        <c:varyColors val="0"/>
        <c:ser>
          <c:idx val="0"/>
          <c:order val="0"/>
          <c:tx>
            <c:strRef>
              <c:f>'T10'!$B$4</c:f>
              <c:strCache>
                <c:ptCount val="1"/>
                <c:pt idx="0">
                  <c:v>AgeRange</c:v>
                </c:pt>
              </c:strCache>
            </c:strRef>
          </c:tx>
          <c:spPr>
            <a:solidFill>
              <a:schemeClr val="bg1">
                <a:lumMod val="50000"/>
              </a:schemeClr>
            </a:solidFill>
            <a:ln>
              <a:solidFill>
                <a:schemeClr val="bg1">
                  <a:lumMod val="65000"/>
                </a:schemeClr>
              </a:solidFill>
            </a:ln>
          </c:spPr>
          <c:invertIfNegative val="0"/>
          <c:dLbls>
            <c:numFmt formatCode="_-* #,##0_-;\-* #,##0_-;_-* &quot;-&quot;??_-;_-@_-"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'T10'!$B$21:$B$29</c:f>
              <c:numCache>
                <c:formatCode>General</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0E32-4C0F-BC08-639DEA69E09C}"/>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25"/>
        <c:axId val="227875616"/>
        <c:axId val="228623368"/>
      </c:barChart>
      <c:catAx>
        <c:axId val="227875616"/>
        <c:scaling>
          <c:orientation val="minMax"/>
        </c:scaling>
        <c:delete val="0"/>
        <c:axPos val="b"/>
        <c:numFmt formatCode="General" sourceLinked="1"/>
        <c:majorTickMark val="out"/>
        <c:minorTickMark val="none"/>
        <c:tickLblPos val="nextTo"/>
        <c:spPr>
          <a:ln>
            <a:noFill/>
          </a:ln>
        </c:spPr>
        <c:txPr>
          <a:bodyPr rot="5400000" vert="horz"/>
          <a:lstStyle/>
          <a:p>
            <a:pPr>
              <a:defRPr baseline="0">
                <a:solidFill>
                  <a:schemeClr val="tx1">
                    <a:lumMod val="85000"/>
                    <a:lumOff val="15000"/>
                  </a:schemeClr>
                </a:solidFill>
              </a:defRPr>
            </a:pPr>
            <a:endParaRPr lang="en-US"/>
          </a:p>
        </c:txPr>
        <c:crossAx val="228623368"/>
        <c:crosses val="autoZero"/>
        <c:auto val="1"/>
        <c:lblAlgn val="ctr"/>
        <c:lblOffset val="100"/>
        <c:noMultiLvlLbl val="0"/>
      </c:catAx>
      <c:valAx>
        <c:axId val="228623368"/>
        <c:scaling>
          <c:orientation val="minMax"/>
          <c:min val="0"/>
        </c:scaling>
        <c:delete val="1"/>
        <c:axPos val="l"/>
        <c:numFmt formatCode="General" sourceLinked="1"/>
        <c:majorTickMark val="out"/>
        <c:minorTickMark val="none"/>
        <c:tickLblPos val="nextTo"/>
        <c:crossAx val="22787561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image" Target="../media/image6.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46.xml.rels><?xml version="1.0" encoding="UTF-8" standalone="yes"?>
<Relationships xmlns="http://schemas.openxmlformats.org/package/2006/relationships"><Relationship Id="rId1" Type="http://schemas.openxmlformats.org/officeDocument/2006/relationships/image" Target="../media/image7.png"/></Relationships>
</file>

<file path=xl/drawings/_rels/drawing47.xml.rels><?xml version="1.0" encoding="UTF-8" standalone="yes"?>
<Relationships xmlns="http://schemas.openxmlformats.org/package/2006/relationships"><Relationship Id="rId1" Type="http://schemas.openxmlformats.org/officeDocument/2006/relationships/image" Target="../media/image8.png"/></Relationships>
</file>

<file path=xl/drawings/_rels/drawing52.xml.rels><?xml version="1.0" encoding="UTF-8" standalone="yes"?>
<Relationships xmlns="http://schemas.openxmlformats.org/package/2006/relationships"><Relationship Id="rId1" Type="http://schemas.openxmlformats.org/officeDocument/2006/relationships/image" Target="../media/image9.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95250</xdr:rowOff>
    </xdr:from>
    <xdr:to>
      <xdr:col>8</xdr:col>
      <xdr:colOff>152400</xdr:colOff>
      <xdr:row>25</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552450</xdr:colOff>
      <xdr:row>2</xdr:row>
      <xdr:rowOff>161925</xdr:rowOff>
    </xdr:from>
    <xdr:to>
      <xdr:col>8</xdr:col>
      <xdr:colOff>180975</xdr:colOff>
      <xdr:row>4</xdr:row>
      <xdr:rowOff>28575</xdr:rowOff>
    </xdr:to>
    <mc:AlternateContent xmlns:mc="http://schemas.openxmlformats.org/markup-compatibility/2006" xmlns:a14="http://schemas.microsoft.com/office/drawing/2010/main">
      <mc:Choice Requires="a14">
        <xdr:graphicFrame macro="">
          <xdr:nvGraphicFramePr>
            <xdr:cNvPr id="5" name="FinYr 31"/>
            <xdr:cNvGraphicFramePr/>
          </xdr:nvGraphicFramePr>
          <xdr:xfrm>
            <a:off x="0" y="0"/>
            <a:ext cx="0" cy="0"/>
          </xdr:xfrm>
          <a:graphic>
            <a:graphicData uri="http://schemas.microsoft.com/office/drawing/2010/slicer">
              <sle:slicer xmlns:sle="http://schemas.microsoft.com/office/drawing/2010/slicer" name="FinYr 31"/>
            </a:graphicData>
          </a:graphic>
        </xdr:graphicFrame>
      </mc:Choice>
      <mc:Fallback xmlns="">
        <xdr:sp macro="" textlink="">
          <xdr:nvSpPr>
            <xdr:cNvPr id="0" name=""/>
            <xdr:cNvSpPr>
              <a:spLocks noTextEdit="1"/>
            </xdr:cNvSpPr>
          </xdr:nvSpPr>
          <xdr:spPr>
            <a:xfrm>
              <a:off x="5534025" y="552450"/>
              <a:ext cx="4200525"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628650</xdr:colOff>
      <xdr:row>3</xdr:row>
      <xdr:rowOff>19050</xdr:rowOff>
    </xdr:from>
    <xdr:to>
      <xdr:col>10</xdr:col>
      <xdr:colOff>0</xdr:colOff>
      <xdr:row>4</xdr:row>
      <xdr:rowOff>114300</xdr:rowOff>
    </xdr:to>
    <mc:AlternateContent xmlns:mc="http://schemas.openxmlformats.org/markup-compatibility/2006" xmlns:a14="http://schemas.microsoft.com/office/drawing/2010/main">
      <mc:Choice Requires="a14">
        <xdr:graphicFrame macro="">
          <xdr:nvGraphicFramePr>
            <xdr:cNvPr id="2" name="FinYr 1"/>
            <xdr:cNvGraphicFramePr/>
          </xdr:nvGraphicFramePr>
          <xdr:xfrm>
            <a:off x="0" y="0"/>
            <a:ext cx="0" cy="0"/>
          </xdr:xfrm>
          <a:graphic>
            <a:graphicData uri="http://schemas.microsoft.com/office/drawing/2010/slicer">
              <sle:slicer xmlns:sle="http://schemas.microsoft.com/office/drawing/2010/slicer" name="FinYr 1"/>
            </a:graphicData>
          </a:graphic>
        </xdr:graphicFrame>
      </mc:Choice>
      <mc:Fallback xmlns="">
        <xdr:sp macro="" textlink="">
          <xdr:nvSpPr>
            <xdr:cNvPr id="0" name=""/>
            <xdr:cNvSpPr>
              <a:spLocks noTextEdit="1"/>
            </xdr:cNvSpPr>
          </xdr:nvSpPr>
          <xdr:spPr>
            <a:xfrm>
              <a:off x="4943475" y="676275"/>
              <a:ext cx="4391025" cy="4857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xdr:colOff>
      <xdr:row>3</xdr:row>
      <xdr:rowOff>0</xdr:rowOff>
    </xdr:from>
    <xdr:to>
      <xdr:col>8</xdr:col>
      <xdr:colOff>838201</xdr:colOff>
      <xdr:row>4</xdr:row>
      <xdr:rowOff>28575</xdr:rowOff>
    </xdr:to>
    <mc:AlternateContent xmlns:mc="http://schemas.openxmlformats.org/markup-compatibility/2006" xmlns:a14="http://schemas.microsoft.com/office/drawing/2010/main">
      <mc:Choice Requires="a14">
        <xdr:graphicFrame macro="">
          <xdr:nvGraphicFramePr>
            <xdr:cNvPr id="2" name="FinYr 3"/>
            <xdr:cNvGraphicFramePr/>
          </xdr:nvGraphicFramePr>
          <xdr:xfrm>
            <a:off x="0" y="0"/>
            <a:ext cx="0" cy="0"/>
          </xdr:xfrm>
          <a:graphic>
            <a:graphicData uri="http://schemas.microsoft.com/office/drawing/2010/slicer">
              <sle:slicer xmlns:sle="http://schemas.microsoft.com/office/drawing/2010/slicer" name="FinYr 3"/>
            </a:graphicData>
          </a:graphic>
        </xdr:graphicFrame>
      </mc:Choice>
      <mc:Fallback xmlns="">
        <xdr:sp macro="" textlink="">
          <xdr:nvSpPr>
            <xdr:cNvPr id="0" name=""/>
            <xdr:cNvSpPr>
              <a:spLocks noTextEdit="1"/>
            </xdr:cNvSpPr>
          </xdr:nvSpPr>
          <xdr:spPr>
            <a:xfrm>
              <a:off x="4267202" y="600075"/>
              <a:ext cx="5172074"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38100</xdr:colOff>
      <xdr:row>14</xdr:row>
      <xdr:rowOff>171450</xdr:rowOff>
    </xdr:from>
    <xdr:to>
      <xdr:col>8</xdr:col>
      <xdr:colOff>904875</xdr:colOff>
      <xdr:row>16</xdr:row>
      <xdr:rowOff>47625</xdr:rowOff>
    </xdr:to>
    <mc:AlternateContent xmlns:mc="http://schemas.openxmlformats.org/markup-compatibility/2006" xmlns:a14="http://schemas.microsoft.com/office/drawing/2010/main">
      <mc:Choice Requires="a14">
        <xdr:graphicFrame macro="">
          <xdr:nvGraphicFramePr>
            <xdr:cNvPr id="3" name="FinYr 5"/>
            <xdr:cNvGraphicFramePr/>
          </xdr:nvGraphicFramePr>
          <xdr:xfrm>
            <a:off x="0" y="0"/>
            <a:ext cx="0" cy="0"/>
          </xdr:xfrm>
          <a:graphic>
            <a:graphicData uri="http://schemas.microsoft.com/office/drawing/2010/slicer">
              <sle:slicer xmlns:sle="http://schemas.microsoft.com/office/drawing/2010/slicer" name="FinYr 5"/>
            </a:graphicData>
          </a:graphic>
        </xdr:graphicFrame>
      </mc:Choice>
      <mc:Fallback xmlns="">
        <xdr:sp macro="" textlink="">
          <xdr:nvSpPr>
            <xdr:cNvPr id="0" name=""/>
            <xdr:cNvSpPr>
              <a:spLocks noTextEdit="1"/>
            </xdr:cNvSpPr>
          </xdr:nvSpPr>
          <xdr:spPr>
            <a:xfrm>
              <a:off x="4305300" y="3276600"/>
              <a:ext cx="5200650" cy="4476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438150</xdr:colOff>
      <xdr:row>2</xdr:row>
      <xdr:rowOff>161925</xdr:rowOff>
    </xdr:from>
    <xdr:to>
      <xdr:col>10</xdr:col>
      <xdr:colOff>66675</xdr:colOff>
      <xdr:row>3</xdr:row>
      <xdr:rowOff>457200</xdr:rowOff>
    </xdr:to>
    <mc:AlternateContent xmlns:mc="http://schemas.openxmlformats.org/markup-compatibility/2006" xmlns:a14="http://schemas.microsoft.com/office/drawing/2010/main">
      <mc:Choice Requires="a14">
        <xdr:graphicFrame macro="">
          <xdr:nvGraphicFramePr>
            <xdr:cNvPr id="4" name="FinYr 29"/>
            <xdr:cNvGraphicFramePr/>
          </xdr:nvGraphicFramePr>
          <xdr:xfrm>
            <a:off x="0" y="0"/>
            <a:ext cx="0" cy="0"/>
          </xdr:xfrm>
          <a:graphic>
            <a:graphicData uri="http://schemas.microsoft.com/office/drawing/2010/slicer">
              <sle:slicer xmlns:sle="http://schemas.microsoft.com/office/drawing/2010/slicer" name="FinYr 29"/>
            </a:graphicData>
          </a:graphic>
        </xdr:graphicFrame>
      </mc:Choice>
      <mc:Fallback xmlns="">
        <xdr:sp macro="" textlink="">
          <xdr:nvSpPr>
            <xdr:cNvPr id="0" name=""/>
            <xdr:cNvSpPr>
              <a:spLocks noTextEdit="1"/>
            </xdr:cNvSpPr>
          </xdr:nvSpPr>
          <xdr:spPr>
            <a:xfrm>
              <a:off x="4057650" y="561975"/>
              <a:ext cx="4486275" cy="4953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333374</xdr:colOff>
      <xdr:row>11</xdr:row>
      <xdr:rowOff>161926</xdr:rowOff>
    </xdr:from>
    <xdr:to>
      <xdr:col>4</xdr:col>
      <xdr:colOff>190499</xdr:colOff>
      <xdr:row>14</xdr:row>
      <xdr:rowOff>28576</xdr:rowOff>
    </xdr:to>
    <mc:AlternateContent xmlns:mc="http://schemas.openxmlformats.org/markup-compatibility/2006" xmlns:a14="http://schemas.microsoft.com/office/drawing/2010/main">
      <mc:Choice Requires="a14">
        <xdr:graphicFrame macro="">
          <xdr:nvGraphicFramePr>
            <xdr:cNvPr id="2" name="FinYr 7"/>
            <xdr:cNvGraphicFramePr/>
          </xdr:nvGraphicFramePr>
          <xdr:xfrm>
            <a:off x="0" y="0"/>
            <a:ext cx="0" cy="0"/>
          </xdr:xfrm>
          <a:graphic>
            <a:graphicData uri="http://schemas.microsoft.com/office/drawing/2010/slicer">
              <sle:slicer xmlns:sle="http://schemas.microsoft.com/office/drawing/2010/slicer" name="FinYr 7"/>
            </a:graphicData>
          </a:graphic>
        </xdr:graphicFrame>
      </mc:Choice>
      <mc:Fallback xmlns="">
        <xdr:sp macro="" textlink="">
          <xdr:nvSpPr>
            <xdr:cNvPr id="0" name=""/>
            <xdr:cNvSpPr>
              <a:spLocks noTextEdit="1"/>
            </xdr:cNvSpPr>
          </xdr:nvSpPr>
          <xdr:spPr>
            <a:xfrm>
              <a:off x="4448174" y="2257426"/>
              <a:ext cx="4200525"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476250</xdr:colOff>
      <xdr:row>8</xdr:row>
      <xdr:rowOff>28576</xdr:rowOff>
    </xdr:from>
    <xdr:to>
      <xdr:col>5</xdr:col>
      <xdr:colOff>800100</xdr:colOff>
      <xdr:row>10</xdr:row>
      <xdr:rowOff>104775</xdr:rowOff>
    </xdr:to>
    <mc:AlternateContent xmlns:mc="http://schemas.openxmlformats.org/markup-compatibility/2006" xmlns:a14="http://schemas.microsoft.com/office/drawing/2010/main">
      <mc:Choice Requires="a14">
        <xdr:graphicFrame macro="">
          <xdr:nvGraphicFramePr>
            <xdr:cNvPr id="5"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981325" y="1552576"/>
              <a:ext cx="4638675" cy="4571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428625</xdr:colOff>
      <xdr:row>16</xdr:row>
      <xdr:rowOff>76200</xdr:rowOff>
    </xdr:from>
    <xdr:to>
      <xdr:col>6</xdr:col>
      <xdr:colOff>19050</xdr:colOff>
      <xdr:row>18</xdr:row>
      <xdr:rowOff>142875</xdr:rowOff>
    </xdr:to>
    <mc:AlternateContent xmlns:mc="http://schemas.openxmlformats.org/markup-compatibility/2006" xmlns:a14="http://schemas.microsoft.com/office/drawing/2010/main">
      <mc:Choice Requires="a14">
        <xdr:graphicFrame macro="">
          <xdr:nvGraphicFramePr>
            <xdr:cNvPr id="7" name="Year2"/>
            <xdr:cNvGraphicFramePr/>
          </xdr:nvGraphicFramePr>
          <xdr:xfrm>
            <a:off x="0" y="0"/>
            <a:ext cx="0" cy="0"/>
          </xdr:xfrm>
          <a:graphic>
            <a:graphicData uri="http://schemas.microsoft.com/office/drawing/2010/slicer">
              <sle:slicer xmlns:sle="http://schemas.microsoft.com/office/drawing/2010/slicer" name="Year2"/>
            </a:graphicData>
          </a:graphic>
        </xdr:graphicFrame>
      </mc:Choice>
      <mc:Fallback xmlns="">
        <xdr:sp macro="" textlink="">
          <xdr:nvSpPr>
            <xdr:cNvPr id="0" name=""/>
            <xdr:cNvSpPr>
              <a:spLocks noTextEdit="1"/>
            </xdr:cNvSpPr>
          </xdr:nvSpPr>
          <xdr:spPr>
            <a:xfrm>
              <a:off x="2933700" y="3124200"/>
              <a:ext cx="5372100" cy="4476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400050</xdr:colOff>
      <xdr:row>25</xdr:row>
      <xdr:rowOff>142875</xdr:rowOff>
    </xdr:from>
    <xdr:to>
      <xdr:col>5</xdr:col>
      <xdr:colOff>1171575</xdr:colOff>
      <xdr:row>28</xdr:row>
      <xdr:rowOff>152400</xdr:rowOff>
    </xdr:to>
    <mc:AlternateContent xmlns:mc="http://schemas.openxmlformats.org/markup-compatibility/2006" xmlns:a14="http://schemas.microsoft.com/office/drawing/2010/main">
      <mc:Choice Requires="a14">
        <xdr:graphicFrame macro="">
          <xdr:nvGraphicFramePr>
            <xdr:cNvPr id="2" name="FinYear"/>
            <xdr:cNvGraphicFramePr/>
          </xdr:nvGraphicFramePr>
          <xdr:xfrm>
            <a:off x="0" y="0"/>
            <a:ext cx="0" cy="0"/>
          </xdr:xfrm>
          <a:graphic>
            <a:graphicData uri="http://schemas.microsoft.com/office/drawing/2010/slicer">
              <sle:slicer xmlns:sle="http://schemas.microsoft.com/office/drawing/2010/slicer" name="FinYear"/>
            </a:graphicData>
          </a:graphic>
        </xdr:graphicFrame>
      </mc:Choice>
      <mc:Fallback xmlns="">
        <xdr:sp macro="" textlink="">
          <xdr:nvSpPr>
            <xdr:cNvPr id="0" name=""/>
            <xdr:cNvSpPr>
              <a:spLocks noTextEdit="1"/>
            </xdr:cNvSpPr>
          </xdr:nvSpPr>
          <xdr:spPr>
            <a:xfrm>
              <a:off x="1981200" y="4905375"/>
              <a:ext cx="5086350" cy="5810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22</xdr:col>
      <xdr:colOff>0</xdr:colOff>
      <xdr:row>5</xdr:row>
      <xdr:rowOff>28575</xdr:rowOff>
    </xdr:to>
    <mc:AlternateContent xmlns:mc="http://schemas.openxmlformats.org/markup-compatibility/2006" xmlns:a14="http://schemas.microsoft.com/office/drawing/2010/main">
      <mc:Choice Requires="a14">
        <xdr:graphicFrame macro="">
          <xdr:nvGraphicFramePr>
            <xdr:cNvPr id="3" name="Year3"/>
            <xdr:cNvGraphicFramePr/>
          </xdr:nvGraphicFramePr>
          <xdr:xfrm>
            <a:off x="0" y="0"/>
            <a:ext cx="0" cy="0"/>
          </xdr:xfrm>
          <a:graphic>
            <a:graphicData uri="http://schemas.microsoft.com/office/drawing/2010/slicer">
              <sle:slicer xmlns:sle="http://schemas.microsoft.com/office/drawing/2010/slicer" name="Year3"/>
            </a:graphicData>
          </a:graphic>
        </xdr:graphicFrame>
      </mc:Choice>
      <mc:Fallback xmlns="">
        <xdr:sp macro="" textlink="">
          <xdr:nvSpPr>
            <xdr:cNvPr id="0" name=""/>
            <xdr:cNvSpPr>
              <a:spLocks noTextEdit="1"/>
            </xdr:cNvSpPr>
          </xdr:nvSpPr>
          <xdr:spPr>
            <a:xfrm>
              <a:off x="6505575" y="571500"/>
              <a:ext cx="4886325" cy="4095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7.xml><?xml version="1.0" encoding="utf-8"?>
<xdr:wsDr xmlns:xdr="http://schemas.openxmlformats.org/drawingml/2006/spreadsheetDrawing" xmlns:a="http://schemas.openxmlformats.org/drawingml/2006/main">
  <xdr:twoCellAnchor editAs="oneCell">
    <xdr:from>
      <xdr:col>5</xdr:col>
      <xdr:colOff>571499</xdr:colOff>
      <xdr:row>16</xdr:row>
      <xdr:rowOff>66675</xdr:rowOff>
    </xdr:from>
    <xdr:to>
      <xdr:col>15</xdr:col>
      <xdr:colOff>66674</xdr:colOff>
      <xdr:row>19</xdr:row>
      <xdr:rowOff>0</xdr:rowOff>
    </xdr:to>
    <mc:AlternateContent xmlns:mc="http://schemas.openxmlformats.org/markup-compatibility/2006" xmlns:a14="http://schemas.microsoft.com/office/drawing/2010/main">
      <mc:Choice Requires="a14">
        <xdr:graphicFrame macro="">
          <xdr:nvGraphicFramePr>
            <xdr:cNvPr id="2" name="FinYr"/>
            <xdr:cNvGraphicFramePr/>
          </xdr:nvGraphicFramePr>
          <xdr:xfrm>
            <a:off x="0" y="0"/>
            <a:ext cx="0" cy="0"/>
          </xdr:xfrm>
          <a:graphic>
            <a:graphicData uri="http://schemas.microsoft.com/office/drawing/2010/slicer">
              <sle:slicer xmlns:sle="http://schemas.microsoft.com/office/drawing/2010/slicer" name="FinYr"/>
            </a:graphicData>
          </a:graphic>
        </xdr:graphicFrame>
      </mc:Choice>
      <mc:Fallback xmlns="">
        <xdr:sp macro="" textlink="">
          <xdr:nvSpPr>
            <xdr:cNvPr id="0" name=""/>
            <xdr:cNvSpPr>
              <a:spLocks noTextEdit="1"/>
            </xdr:cNvSpPr>
          </xdr:nvSpPr>
          <xdr:spPr>
            <a:xfrm>
              <a:off x="6886574" y="3114675"/>
              <a:ext cx="5591175" cy="5048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1000124</xdr:colOff>
      <xdr:row>7</xdr:row>
      <xdr:rowOff>57151</xdr:rowOff>
    </xdr:from>
    <xdr:to>
      <xdr:col>7</xdr:col>
      <xdr:colOff>866774</xdr:colOff>
      <xdr:row>9</xdr:row>
      <xdr:rowOff>180975</xdr:rowOff>
    </xdr:to>
    <mc:AlternateContent xmlns:mc="http://schemas.openxmlformats.org/markup-compatibility/2006" xmlns:a14="http://schemas.microsoft.com/office/drawing/2010/main">
      <mc:Choice Requires="a14">
        <xdr:graphicFrame macro="">
          <xdr:nvGraphicFramePr>
            <xdr:cNvPr id="2" name="FinYr 2"/>
            <xdr:cNvGraphicFramePr/>
          </xdr:nvGraphicFramePr>
          <xdr:xfrm>
            <a:off x="0" y="0"/>
            <a:ext cx="0" cy="0"/>
          </xdr:xfrm>
          <a:graphic>
            <a:graphicData uri="http://schemas.microsoft.com/office/drawing/2010/slicer">
              <sle:slicer xmlns:sle="http://schemas.microsoft.com/office/drawing/2010/slicer" name="FinYr 2"/>
            </a:graphicData>
          </a:graphic>
        </xdr:graphicFrame>
      </mc:Choice>
      <mc:Fallback xmlns="">
        <xdr:sp macro="" textlink="">
          <xdr:nvSpPr>
            <xdr:cNvPr id="0" name=""/>
            <xdr:cNvSpPr>
              <a:spLocks noTextEdit="1"/>
            </xdr:cNvSpPr>
          </xdr:nvSpPr>
          <xdr:spPr>
            <a:xfrm>
              <a:off x="3228974" y="1390651"/>
              <a:ext cx="6886575" cy="5048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971550</xdr:colOff>
      <xdr:row>16</xdr:row>
      <xdr:rowOff>66675</xdr:rowOff>
    </xdr:from>
    <xdr:to>
      <xdr:col>11</xdr:col>
      <xdr:colOff>66676</xdr:colOff>
      <xdr:row>18</xdr:row>
      <xdr:rowOff>133350</xdr:rowOff>
    </xdr:to>
    <mc:AlternateContent xmlns:mc="http://schemas.openxmlformats.org/markup-compatibility/2006" xmlns:a14="http://schemas.microsoft.com/office/drawing/2010/main">
      <mc:Choice Requires="a14">
        <xdr:graphicFrame macro="">
          <xdr:nvGraphicFramePr>
            <xdr:cNvPr id="3" name="FinYr 4"/>
            <xdr:cNvGraphicFramePr/>
          </xdr:nvGraphicFramePr>
          <xdr:xfrm>
            <a:off x="0" y="0"/>
            <a:ext cx="0" cy="0"/>
          </xdr:xfrm>
          <a:graphic>
            <a:graphicData uri="http://schemas.microsoft.com/office/drawing/2010/slicer">
              <sle:slicer xmlns:sle="http://schemas.microsoft.com/office/drawing/2010/slicer" name="FinYr 4"/>
            </a:graphicData>
          </a:graphic>
        </xdr:graphicFrame>
      </mc:Choice>
      <mc:Fallback xmlns="">
        <xdr:sp macro="" textlink="">
          <xdr:nvSpPr>
            <xdr:cNvPr id="0" name=""/>
            <xdr:cNvSpPr>
              <a:spLocks noTextEdit="1"/>
            </xdr:cNvSpPr>
          </xdr:nvSpPr>
          <xdr:spPr>
            <a:xfrm>
              <a:off x="7934325" y="3114675"/>
              <a:ext cx="5495926" cy="4476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1181099</xdr:colOff>
      <xdr:row>25</xdr:row>
      <xdr:rowOff>66676</xdr:rowOff>
    </xdr:from>
    <xdr:to>
      <xdr:col>8</xdr:col>
      <xdr:colOff>114300</xdr:colOff>
      <xdr:row>28</xdr:row>
      <xdr:rowOff>85725</xdr:rowOff>
    </xdr:to>
    <mc:AlternateContent xmlns:mc="http://schemas.openxmlformats.org/markup-compatibility/2006" xmlns:a14="http://schemas.microsoft.com/office/drawing/2010/main">
      <mc:Choice Requires="a14">
        <xdr:graphicFrame macro="">
          <xdr:nvGraphicFramePr>
            <xdr:cNvPr id="4" name="FinYr 6"/>
            <xdr:cNvGraphicFramePr/>
          </xdr:nvGraphicFramePr>
          <xdr:xfrm>
            <a:off x="0" y="0"/>
            <a:ext cx="0" cy="0"/>
          </xdr:xfrm>
          <a:graphic>
            <a:graphicData uri="http://schemas.microsoft.com/office/drawing/2010/slicer">
              <sle:slicer xmlns:sle="http://schemas.microsoft.com/office/drawing/2010/slicer" name="FinYr 6"/>
            </a:graphicData>
          </a:graphic>
        </xdr:graphicFrame>
      </mc:Choice>
      <mc:Fallback xmlns="">
        <xdr:sp macro="" textlink="">
          <xdr:nvSpPr>
            <xdr:cNvPr id="0" name=""/>
            <xdr:cNvSpPr>
              <a:spLocks noTextEdit="1"/>
            </xdr:cNvSpPr>
          </xdr:nvSpPr>
          <xdr:spPr>
            <a:xfrm>
              <a:off x="6886574" y="4829176"/>
              <a:ext cx="4572001" cy="5905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904875</xdr:colOff>
      <xdr:row>41</xdr:row>
      <xdr:rowOff>47626</xdr:rowOff>
    </xdr:from>
    <xdr:to>
      <xdr:col>5</xdr:col>
      <xdr:colOff>1466850</xdr:colOff>
      <xdr:row>43</xdr:row>
      <xdr:rowOff>66676</xdr:rowOff>
    </xdr:to>
    <mc:AlternateContent xmlns:mc="http://schemas.openxmlformats.org/markup-compatibility/2006" xmlns:a14="http://schemas.microsoft.com/office/drawing/2010/main">
      <mc:Choice Requires="a14">
        <xdr:graphicFrame macro="">
          <xdr:nvGraphicFramePr>
            <xdr:cNvPr id="5" name="FinYr 28"/>
            <xdr:cNvGraphicFramePr/>
          </xdr:nvGraphicFramePr>
          <xdr:xfrm>
            <a:off x="0" y="0"/>
            <a:ext cx="0" cy="0"/>
          </xdr:xfrm>
          <a:graphic>
            <a:graphicData uri="http://schemas.microsoft.com/office/drawing/2010/slicer">
              <sle:slicer xmlns:sle="http://schemas.microsoft.com/office/drawing/2010/slicer" name="FinYr 28"/>
            </a:graphicData>
          </a:graphic>
        </xdr:graphicFrame>
      </mc:Choice>
      <mc:Fallback xmlns="">
        <xdr:sp macro="" textlink="">
          <xdr:nvSpPr>
            <xdr:cNvPr id="0" name=""/>
            <xdr:cNvSpPr>
              <a:spLocks noTextEdit="1"/>
            </xdr:cNvSpPr>
          </xdr:nvSpPr>
          <xdr:spPr>
            <a:xfrm>
              <a:off x="3133725" y="7858126"/>
              <a:ext cx="4610100" cy="400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295276</xdr:colOff>
      <xdr:row>3</xdr:row>
      <xdr:rowOff>19050</xdr:rowOff>
    </xdr:from>
    <xdr:to>
      <xdr:col>9</xdr:col>
      <xdr:colOff>238125</xdr:colOff>
      <xdr:row>4</xdr:row>
      <xdr:rowOff>19050</xdr:rowOff>
    </xdr:to>
    <mc:AlternateContent xmlns:mc="http://schemas.openxmlformats.org/markup-compatibility/2006" xmlns:a14="http://schemas.microsoft.com/office/drawing/2010/main">
      <mc:Choice Requires="a14">
        <xdr:graphicFrame macro="">
          <xdr:nvGraphicFramePr>
            <xdr:cNvPr id="2" name="FinYr 9"/>
            <xdr:cNvGraphicFramePr/>
          </xdr:nvGraphicFramePr>
          <xdr:xfrm>
            <a:off x="0" y="0"/>
            <a:ext cx="0" cy="0"/>
          </xdr:xfrm>
          <a:graphic>
            <a:graphicData uri="http://schemas.microsoft.com/office/drawing/2010/slicer">
              <sle:slicer xmlns:sle="http://schemas.microsoft.com/office/drawing/2010/slicer" name="FinYr 9"/>
            </a:graphicData>
          </a:graphic>
        </xdr:graphicFrame>
      </mc:Choice>
      <mc:Fallback xmlns="">
        <xdr:sp macro="" textlink="">
          <xdr:nvSpPr>
            <xdr:cNvPr id="0" name=""/>
            <xdr:cNvSpPr>
              <a:spLocks noTextEdit="1"/>
            </xdr:cNvSpPr>
          </xdr:nvSpPr>
          <xdr:spPr>
            <a:xfrm>
              <a:off x="6029326" y="619125"/>
              <a:ext cx="4286249" cy="476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9</xdr:col>
      <xdr:colOff>400685</xdr:colOff>
      <xdr:row>30</xdr:row>
      <xdr:rowOff>95885</xdr:rowOff>
    </xdr:to>
    <xdr:pic>
      <xdr:nvPicPr>
        <xdr:cNvPr id="4" name="Picture 3" descr="C:\Users\gregor.welsh\StationFootprint\7_s1.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1171575"/>
          <a:ext cx="4667885" cy="466788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247650</xdr:colOff>
      <xdr:row>0</xdr:row>
      <xdr:rowOff>114300</xdr:rowOff>
    </xdr:from>
    <xdr:to>
      <xdr:col>11</xdr:col>
      <xdr:colOff>57150</xdr:colOff>
      <xdr:row>13</xdr:row>
      <xdr:rowOff>161925</xdr:rowOff>
    </xdr:to>
    <mc:AlternateContent xmlns:mc="http://schemas.openxmlformats.org/markup-compatibility/2006" xmlns:a14="http://schemas.microsoft.com/office/drawing/2010/main">
      <mc:Choice Requires="a14">
        <xdr:graphicFrame macro="">
          <xdr:nvGraphicFramePr>
            <xdr:cNvPr id="3" name="lvl"/>
            <xdr:cNvGraphicFramePr/>
          </xdr:nvGraphicFramePr>
          <xdr:xfrm>
            <a:off x="0" y="0"/>
            <a:ext cx="0" cy="0"/>
          </xdr:xfrm>
          <a:graphic>
            <a:graphicData uri="http://schemas.microsoft.com/office/drawing/2010/slicer">
              <sle:slicer xmlns:sle="http://schemas.microsoft.com/office/drawing/2010/slicer" name="lvl"/>
            </a:graphicData>
          </a:graphic>
        </xdr:graphicFrame>
      </mc:Choice>
      <mc:Fallback xmlns="">
        <xdr:sp macro="" textlink="">
          <xdr:nvSpPr>
            <xdr:cNvPr id="0" name=""/>
            <xdr:cNvSpPr>
              <a:spLocks noTextEdit="1"/>
            </xdr:cNvSpPr>
          </xdr:nvSpPr>
          <xdr:spPr>
            <a:xfrm>
              <a:off x="14211300" y="11430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0</xdr:rowOff>
    </xdr:from>
    <xdr:to>
      <xdr:col>1</xdr:col>
      <xdr:colOff>866775</xdr:colOff>
      <xdr:row>11</xdr:row>
      <xdr:rowOff>95250</xdr:rowOff>
    </xdr:to>
    <mc:AlternateContent xmlns:mc="http://schemas.openxmlformats.org/markup-compatibility/2006" xmlns:a14="http://schemas.microsoft.com/office/drawing/2010/main">
      <mc:Choice Requires="a14">
        <xdr:graphicFrame macro="">
          <xdr:nvGraphicFramePr>
            <xdr:cNvPr id="4" name="FinYr 8"/>
            <xdr:cNvGraphicFramePr/>
          </xdr:nvGraphicFramePr>
          <xdr:xfrm>
            <a:off x="0" y="0"/>
            <a:ext cx="0" cy="0"/>
          </xdr:xfrm>
          <a:graphic>
            <a:graphicData uri="http://schemas.microsoft.com/office/drawing/2010/slicer">
              <sle:slicer xmlns:sle="http://schemas.microsoft.com/office/drawing/2010/slicer" name="FinYr 8"/>
            </a:graphicData>
          </a:graphic>
        </xdr:graphicFrame>
      </mc:Choice>
      <mc:Fallback xmlns="">
        <xdr:sp macro="" textlink="">
          <xdr:nvSpPr>
            <xdr:cNvPr id="0" name=""/>
            <xdr:cNvSpPr>
              <a:spLocks noTextEdit="1"/>
            </xdr:cNvSpPr>
          </xdr:nvSpPr>
          <xdr:spPr>
            <a:xfrm>
              <a:off x="0" y="1714500"/>
              <a:ext cx="4981575" cy="476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666750</xdr:colOff>
      <xdr:row>3</xdr:row>
      <xdr:rowOff>57150</xdr:rowOff>
    </xdr:from>
    <xdr:to>
      <xdr:col>9</xdr:col>
      <xdr:colOff>542926</xdr:colOff>
      <xdr:row>4</xdr:row>
      <xdr:rowOff>0</xdr:rowOff>
    </xdr:to>
    <mc:AlternateContent xmlns:mc="http://schemas.openxmlformats.org/markup-compatibility/2006" xmlns:a14="http://schemas.microsoft.com/office/drawing/2010/main">
      <mc:Choice Requires="a14">
        <xdr:graphicFrame macro="">
          <xdr:nvGraphicFramePr>
            <xdr:cNvPr id="4" name="FinYr 32"/>
            <xdr:cNvGraphicFramePr/>
          </xdr:nvGraphicFramePr>
          <xdr:xfrm>
            <a:off x="0" y="0"/>
            <a:ext cx="0" cy="0"/>
          </xdr:xfrm>
          <a:graphic>
            <a:graphicData uri="http://schemas.microsoft.com/office/drawing/2010/slicer">
              <sle:slicer xmlns:sle="http://schemas.microsoft.com/office/drawing/2010/slicer" name="FinYr 32"/>
            </a:graphicData>
          </a:graphic>
        </xdr:graphicFrame>
      </mc:Choice>
      <mc:Fallback xmlns="">
        <xdr:sp macro="" textlink="">
          <xdr:nvSpPr>
            <xdr:cNvPr id="0" name=""/>
            <xdr:cNvSpPr>
              <a:spLocks noTextEdit="1"/>
            </xdr:cNvSpPr>
          </xdr:nvSpPr>
          <xdr:spPr>
            <a:xfrm>
              <a:off x="4743450" y="657225"/>
              <a:ext cx="4029076"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3752850</xdr:colOff>
      <xdr:row>3</xdr:row>
      <xdr:rowOff>0</xdr:rowOff>
    </xdr:from>
    <xdr:to>
      <xdr:col>7</xdr:col>
      <xdr:colOff>152399</xdr:colOff>
      <xdr:row>4</xdr:row>
      <xdr:rowOff>57150</xdr:rowOff>
    </xdr:to>
    <mc:AlternateContent xmlns:mc="http://schemas.openxmlformats.org/markup-compatibility/2006" xmlns:a14="http://schemas.microsoft.com/office/drawing/2010/main">
      <mc:Choice Requires="a14">
        <xdr:graphicFrame macro="">
          <xdr:nvGraphicFramePr>
            <xdr:cNvPr id="2" name="FinYr 11"/>
            <xdr:cNvGraphicFramePr/>
          </xdr:nvGraphicFramePr>
          <xdr:xfrm>
            <a:off x="0" y="0"/>
            <a:ext cx="0" cy="0"/>
          </xdr:xfrm>
          <a:graphic>
            <a:graphicData uri="http://schemas.microsoft.com/office/drawing/2010/slicer">
              <sle:slicer xmlns:sle="http://schemas.microsoft.com/office/drawing/2010/slicer" name="FinYr 11"/>
            </a:graphicData>
          </a:graphic>
        </xdr:graphicFrame>
      </mc:Choice>
      <mc:Fallback xmlns="">
        <xdr:sp macro="" textlink="">
          <xdr:nvSpPr>
            <xdr:cNvPr id="0" name=""/>
            <xdr:cNvSpPr>
              <a:spLocks noTextEdit="1"/>
            </xdr:cNvSpPr>
          </xdr:nvSpPr>
          <xdr:spPr>
            <a:xfrm>
              <a:off x="4905375" y="600075"/>
              <a:ext cx="4552949" cy="457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171450</xdr:colOff>
      <xdr:row>17</xdr:row>
      <xdr:rowOff>85725</xdr:rowOff>
    </xdr:from>
    <xdr:to>
      <xdr:col>7</xdr:col>
      <xdr:colOff>9525</xdr:colOff>
      <xdr:row>18</xdr:row>
      <xdr:rowOff>19050</xdr:rowOff>
    </xdr:to>
    <mc:AlternateContent xmlns:mc="http://schemas.openxmlformats.org/markup-compatibility/2006" xmlns:a14="http://schemas.microsoft.com/office/drawing/2010/main">
      <mc:Choice Requires="a14">
        <xdr:graphicFrame macro="">
          <xdr:nvGraphicFramePr>
            <xdr:cNvPr id="4" name="FinYr 13"/>
            <xdr:cNvGraphicFramePr/>
          </xdr:nvGraphicFramePr>
          <xdr:xfrm>
            <a:off x="0" y="0"/>
            <a:ext cx="0" cy="0"/>
          </xdr:xfrm>
          <a:graphic>
            <a:graphicData uri="http://schemas.microsoft.com/office/drawing/2010/slicer">
              <sle:slicer xmlns:sle="http://schemas.microsoft.com/office/drawing/2010/slicer" name="FinYr 13"/>
            </a:graphicData>
          </a:graphic>
        </xdr:graphicFrame>
      </mc:Choice>
      <mc:Fallback xmlns="">
        <xdr:sp macro="" textlink="">
          <xdr:nvSpPr>
            <xdr:cNvPr id="0" name=""/>
            <xdr:cNvSpPr>
              <a:spLocks noTextEdit="1"/>
            </xdr:cNvSpPr>
          </xdr:nvSpPr>
          <xdr:spPr>
            <a:xfrm>
              <a:off x="5238750" y="3352800"/>
              <a:ext cx="4076700" cy="4095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276225</xdr:colOff>
      <xdr:row>2</xdr:row>
      <xdr:rowOff>85726</xdr:rowOff>
    </xdr:from>
    <xdr:to>
      <xdr:col>10</xdr:col>
      <xdr:colOff>66675</xdr:colOff>
      <xdr:row>4</xdr:row>
      <xdr:rowOff>57150</xdr:rowOff>
    </xdr:to>
    <mc:AlternateContent xmlns:mc="http://schemas.openxmlformats.org/markup-compatibility/2006" xmlns:a14="http://schemas.microsoft.com/office/drawing/2010/main">
      <mc:Choice Requires="a14">
        <xdr:graphicFrame macro="">
          <xdr:nvGraphicFramePr>
            <xdr:cNvPr id="2" name="FinYr 17"/>
            <xdr:cNvGraphicFramePr/>
          </xdr:nvGraphicFramePr>
          <xdr:xfrm>
            <a:off x="0" y="0"/>
            <a:ext cx="0" cy="0"/>
          </xdr:xfrm>
          <a:graphic>
            <a:graphicData uri="http://schemas.microsoft.com/office/drawing/2010/slicer">
              <sle:slicer xmlns:sle="http://schemas.microsoft.com/office/drawing/2010/slicer" name="FinYr 17"/>
            </a:graphicData>
          </a:graphic>
        </xdr:graphicFrame>
      </mc:Choice>
      <mc:Fallback xmlns="">
        <xdr:sp macro="" textlink="">
          <xdr:nvSpPr>
            <xdr:cNvPr id="0" name=""/>
            <xdr:cNvSpPr>
              <a:spLocks noTextEdit="1"/>
            </xdr:cNvSpPr>
          </xdr:nvSpPr>
          <xdr:spPr>
            <a:xfrm>
              <a:off x="2457450" y="476251"/>
              <a:ext cx="4695825" cy="4476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161924</xdr:colOff>
      <xdr:row>0</xdr:row>
      <xdr:rowOff>2</xdr:rowOff>
    </xdr:from>
    <xdr:to>
      <xdr:col>5</xdr:col>
      <xdr:colOff>857250</xdr:colOff>
      <xdr:row>2</xdr:row>
      <xdr:rowOff>171450</xdr:rowOff>
    </xdr:to>
    <mc:AlternateContent xmlns:mc="http://schemas.openxmlformats.org/markup-compatibility/2006" xmlns:a14="http://schemas.microsoft.com/office/drawing/2010/main">
      <mc:Choice Requires="a14">
        <xdr:graphicFrame macro="">
          <xdr:nvGraphicFramePr>
            <xdr:cNvPr id="3" name="FinYr 25"/>
            <xdr:cNvGraphicFramePr/>
          </xdr:nvGraphicFramePr>
          <xdr:xfrm>
            <a:off x="0" y="0"/>
            <a:ext cx="0" cy="0"/>
          </xdr:xfrm>
          <a:graphic>
            <a:graphicData uri="http://schemas.microsoft.com/office/drawing/2010/slicer">
              <sle:slicer xmlns:sle="http://schemas.microsoft.com/office/drawing/2010/slicer" name="FinYr 25"/>
            </a:graphicData>
          </a:graphic>
        </xdr:graphicFrame>
      </mc:Choice>
      <mc:Fallback xmlns="">
        <xdr:sp macro="" textlink="">
          <xdr:nvSpPr>
            <xdr:cNvPr id="0" name=""/>
            <xdr:cNvSpPr>
              <a:spLocks noTextEdit="1"/>
            </xdr:cNvSpPr>
          </xdr:nvSpPr>
          <xdr:spPr>
            <a:xfrm>
              <a:off x="3333749" y="2"/>
              <a:ext cx="4029076" cy="55244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1200149</xdr:colOff>
      <xdr:row>8</xdr:row>
      <xdr:rowOff>47625</xdr:rowOff>
    </xdr:from>
    <xdr:to>
      <xdr:col>6</xdr:col>
      <xdr:colOff>923925</xdr:colOff>
      <xdr:row>10</xdr:row>
      <xdr:rowOff>142875</xdr:rowOff>
    </xdr:to>
    <mc:AlternateContent xmlns:mc="http://schemas.openxmlformats.org/markup-compatibility/2006" xmlns:a14="http://schemas.microsoft.com/office/drawing/2010/main">
      <mc:Choice Requires="a14">
        <xdr:graphicFrame macro="">
          <xdr:nvGraphicFramePr>
            <xdr:cNvPr id="2" name="FinYr 10"/>
            <xdr:cNvGraphicFramePr/>
          </xdr:nvGraphicFramePr>
          <xdr:xfrm>
            <a:off x="0" y="0"/>
            <a:ext cx="0" cy="0"/>
          </xdr:xfrm>
          <a:graphic>
            <a:graphicData uri="http://schemas.microsoft.com/office/drawing/2010/slicer">
              <sle:slicer xmlns:sle="http://schemas.microsoft.com/office/drawing/2010/slicer" name="FinYr 10"/>
            </a:graphicData>
          </a:graphic>
        </xdr:graphicFrame>
      </mc:Choice>
      <mc:Fallback xmlns="">
        <xdr:sp macro="" textlink="">
          <xdr:nvSpPr>
            <xdr:cNvPr id="0" name=""/>
            <xdr:cNvSpPr>
              <a:spLocks noTextEdit="1"/>
            </xdr:cNvSpPr>
          </xdr:nvSpPr>
          <xdr:spPr>
            <a:xfrm>
              <a:off x="3067049" y="1571625"/>
              <a:ext cx="5448301" cy="476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609600</xdr:colOff>
      <xdr:row>22</xdr:row>
      <xdr:rowOff>38100</xdr:rowOff>
    </xdr:from>
    <xdr:to>
      <xdr:col>4</xdr:col>
      <xdr:colOff>904875</xdr:colOff>
      <xdr:row>25</xdr:row>
      <xdr:rowOff>142875</xdr:rowOff>
    </xdr:to>
    <mc:AlternateContent xmlns:mc="http://schemas.openxmlformats.org/markup-compatibility/2006" xmlns:a14="http://schemas.microsoft.com/office/drawing/2010/main">
      <mc:Choice Requires="a14">
        <xdr:graphicFrame macro="">
          <xdr:nvGraphicFramePr>
            <xdr:cNvPr id="3" name="FinYr 12"/>
            <xdr:cNvGraphicFramePr/>
          </xdr:nvGraphicFramePr>
          <xdr:xfrm>
            <a:off x="0" y="0"/>
            <a:ext cx="0" cy="0"/>
          </xdr:xfrm>
          <a:graphic>
            <a:graphicData uri="http://schemas.microsoft.com/office/drawing/2010/slicer">
              <sle:slicer xmlns:sle="http://schemas.microsoft.com/office/drawing/2010/slicer" name="FinYr 12"/>
            </a:graphicData>
          </a:graphic>
        </xdr:graphicFrame>
      </mc:Choice>
      <mc:Fallback xmlns="">
        <xdr:sp macro="" textlink="">
          <xdr:nvSpPr>
            <xdr:cNvPr id="0" name=""/>
            <xdr:cNvSpPr>
              <a:spLocks noTextEdit="1"/>
            </xdr:cNvSpPr>
          </xdr:nvSpPr>
          <xdr:spPr>
            <a:xfrm>
              <a:off x="1485900" y="4229100"/>
              <a:ext cx="4076700" cy="6762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723899</xdr:colOff>
      <xdr:row>16</xdr:row>
      <xdr:rowOff>47626</xdr:rowOff>
    </xdr:from>
    <xdr:to>
      <xdr:col>8</xdr:col>
      <xdr:colOff>180975</xdr:colOff>
      <xdr:row>18</xdr:row>
      <xdr:rowOff>104775</xdr:rowOff>
    </xdr:to>
    <mc:AlternateContent xmlns:mc="http://schemas.openxmlformats.org/markup-compatibility/2006" xmlns:a14="http://schemas.microsoft.com/office/drawing/2010/main">
      <mc:Choice Requires="a14">
        <xdr:graphicFrame macro="">
          <xdr:nvGraphicFramePr>
            <xdr:cNvPr id="2" name="FinYr 14"/>
            <xdr:cNvGraphicFramePr/>
          </xdr:nvGraphicFramePr>
          <xdr:xfrm>
            <a:off x="0" y="0"/>
            <a:ext cx="0" cy="0"/>
          </xdr:xfrm>
          <a:graphic>
            <a:graphicData uri="http://schemas.microsoft.com/office/drawing/2010/slicer">
              <sle:slicer xmlns:sle="http://schemas.microsoft.com/office/drawing/2010/slicer" name="FinYr 14"/>
            </a:graphicData>
          </a:graphic>
        </xdr:graphicFrame>
      </mc:Choice>
      <mc:Fallback xmlns="">
        <xdr:sp macro="" textlink="">
          <xdr:nvSpPr>
            <xdr:cNvPr id="0" name=""/>
            <xdr:cNvSpPr>
              <a:spLocks noTextEdit="1"/>
            </xdr:cNvSpPr>
          </xdr:nvSpPr>
          <xdr:spPr>
            <a:xfrm>
              <a:off x="3152774" y="3095626"/>
              <a:ext cx="4124326" cy="4381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514350</xdr:colOff>
      <xdr:row>16</xdr:row>
      <xdr:rowOff>47625</xdr:rowOff>
    </xdr:from>
    <xdr:to>
      <xdr:col>11</xdr:col>
      <xdr:colOff>581025</xdr:colOff>
      <xdr:row>19</xdr:row>
      <xdr:rowOff>9524</xdr:rowOff>
    </xdr:to>
    <mc:AlternateContent xmlns:mc="http://schemas.openxmlformats.org/markup-compatibility/2006" xmlns:a14="http://schemas.microsoft.com/office/drawing/2010/main">
      <mc:Choice Requires="a14">
        <xdr:graphicFrame macro="">
          <xdr:nvGraphicFramePr>
            <xdr:cNvPr id="2" name="FinYr 16"/>
            <xdr:cNvGraphicFramePr/>
          </xdr:nvGraphicFramePr>
          <xdr:xfrm>
            <a:off x="0" y="0"/>
            <a:ext cx="0" cy="0"/>
          </xdr:xfrm>
          <a:graphic>
            <a:graphicData uri="http://schemas.microsoft.com/office/drawing/2010/slicer">
              <sle:slicer xmlns:sle="http://schemas.microsoft.com/office/drawing/2010/slicer" name="FinYr 16"/>
            </a:graphicData>
          </a:graphic>
        </xdr:graphicFrame>
      </mc:Choice>
      <mc:Fallback xmlns="">
        <xdr:sp macro="" textlink="">
          <xdr:nvSpPr>
            <xdr:cNvPr id="0" name=""/>
            <xdr:cNvSpPr>
              <a:spLocks noTextEdit="1"/>
            </xdr:cNvSpPr>
          </xdr:nvSpPr>
          <xdr:spPr>
            <a:xfrm>
              <a:off x="3152775" y="3095625"/>
              <a:ext cx="5133975" cy="5333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895350</xdr:colOff>
      <xdr:row>2</xdr:row>
      <xdr:rowOff>47625</xdr:rowOff>
    </xdr:from>
    <xdr:to>
      <xdr:col>6</xdr:col>
      <xdr:colOff>352426</xdr:colOff>
      <xdr:row>4</xdr:row>
      <xdr:rowOff>95249</xdr:rowOff>
    </xdr:to>
    <mc:AlternateContent xmlns:mc="http://schemas.openxmlformats.org/markup-compatibility/2006" xmlns:a14="http://schemas.microsoft.com/office/drawing/2010/main">
      <mc:Choice Requires="a14">
        <xdr:graphicFrame macro="">
          <xdr:nvGraphicFramePr>
            <xdr:cNvPr id="2" name="FinYr 15"/>
            <xdr:cNvGraphicFramePr/>
          </xdr:nvGraphicFramePr>
          <xdr:xfrm>
            <a:off x="0" y="0"/>
            <a:ext cx="0" cy="0"/>
          </xdr:xfrm>
          <a:graphic>
            <a:graphicData uri="http://schemas.microsoft.com/office/drawing/2010/slicer">
              <sle:slicer xmlns:sle="http://schemas.microsoft.com/office/drawing/2010/slicer" name="FinYr 15"/>
            </a:graphicData>
          </a:graphic>
        </xdr:graphicFrame>
      </mc:Choice>
      <mc:Fallback xmlns="">
        <xdr:sp macro="" textlink="">
          <xdr:nvSpPr>
            <xdr:cNvPr id="0" name=""/>
            <xdr:cNvSpPr>
              <a:spLocks noTextEdit="1"/>
            </xdr:cNvSpPr>
          </xdr:nvSpPr>
          <xdr:spPr>
            <a:xfrm>
              <a:off x="3352800" y="438150"/>
              <a:ext cx="4124326" cy="4381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133350</xdr:colOff>
      <xdr:row>2</xdr:row>
      <xdr:rowOff>95250</xdr:rowOff>
    </xdr:from>
    <xdr:to>
      <xdr:col>8</xdr:col>
      <xdr:colOff>342901</xdr:colOff>
      <xdr:row>5</xdr:row>
      <xdr:rowOff>9524</xdr:rowOff>
    </xdr:to>
    <mc:AlternateContent xmlns:mc="http://schemas.openxmlformats.org/markup-compatibility/2006" xmlns:a14="http://schemas.microsoft.com/office/drawing/2010/main">
      <mc:Choice Requires="a14">
        <xdr:graphicFrame macro="">
          <xdr:nvGraphicFramePr>
            <xdr:cNvPr id="3" name="FinYr 19"/>
            <xdr:cNvGraphicFramePr/>
          </xdr:nvGraphicFramePr>
          <xdr:xfrm>
            <a:off x="0" y="0"/>
            <a:ext cx="0" cy="0"/>
          </xdr:xfrm>
          <a:graphic>
            <a:graphicData uri="http://schemas.microsoft.com/office/drawing/2010/slicer">
              <sle:slicer xmlns:sle="http://schemas.microsoft.com/office/drawing/2010/slicer" name="FinYr 19"/>
            </a:graphicData>
          </a:graphic>
        </xdr:graphicFrame>
      </mc:Choice>
      <mc:Fallback xmlns="">
        <xdr:sp macro="" textlink="">
          <xdr:nvSpPr>
            <xdr:cNvPr id="0" name=""/>
            <xdr:cNvSpPr>
              <a:spLocks noTextEdit="1"/>
            </xdr:cNvSpPr>
          </xdr:nvSpPr>
          <xdr:spPr>
            <a:xfrm>
              <a:off x="4410075" y="485775"/>
              <a:ext cx="4114801" cy="4952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13</xdr:col>
      <xdr:colOff>145415</xdr:colOff>
      <xdr:row>32</xdr:row>
      <xdr:rowOff>76200</xdr:rowOff>
    </xdr:to>
    <xdr:pic>
      <xdr:nvPicPr>
        <xdr:cNvPr id="4" name="Picture 3" descr="C:\Users\gregor.welsh\StationFootprint\Rplot43.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0" y="1171575"/>
          <a:ext cx="6851015" cy="50292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333374</xdr:colOff>
      <xdr:row>16</xdr:row>
      <xdr:rowOff>38101</xdr:rowOff>
    </xdr:from>
    <xdr:to>
      <xdr:col>11</xdr:col>
      <xdr:colOff>180975</xdr:colOff>
      <xdr:row>18</xdr:row>
      <xdr:rowOff>152400</xdr:rowOff>
    </xdr:to>
    <mc:AlternateContent xmlns:mc="http://schemas.openxmlformats.org/markup-compatibility/2006" xmlns:a14="http://schemas.microsoft.com/office/drawing/2010/main">
      <mc:Choice Requires="a14">
        <xdr:graphicFrame macro="">
          <xdr:nvGraphicFramePr>
            <xdr:cNvPr id="2" name="FinYr 18"/>
            <xdr:cNvGraphicFramePr/>
          </xdr:nvGraphicFramePr>
          <xdr:xfrm>
            <a:off x="0" y="0"/>
            <a:ext cx="0" cy="0"/>
          </xdr:xfrm>
          <a:graphic>
            <a:graphicData uri="http://schemas.microsoft.com/office/drawing/2010/slicer">
              <sle:slicer xmlns:sle="http://schemas.microsoft.com/office/drawing/2010/slicer" name="FinYr 18"/>
            </a:graphicData>
          </a:graphic>
        </xdr:graphicFrame>
      </mc:Choice>
      <mc:Fallback xmlns="">
        <xdr:sp macro="" textlink="">
          <xdr:nvSpPr>
            <xdr:cNvPr id="0" name=""/>
            <xdr:cNvSpPr>
              <a:spLocks noTextEdit="1"/>
            </xdr:cNvSpPr>
          </xdr:nvSpPr>
          <xdr:spPr>
            <a:xfrm>
              <a:off x="4371974" y="3086101"/>
              <a:ext cx="4114801" cy="4952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333375</xdr:colOff>
      <xdr:row>2</xdr:row>
      <xdr:rowOff>38100</xdr:rowOff>
    </xdr:from>
    <xdr:to>
      <xdr:col>8</xdr:col>
      <xdr:colOff>409575</xdr:colOff>
      <xdr:row>4</xdr:row>
      <xdr:rowOff>57149</xdr:rowOff>
    </xdr:to>
    <mc:AlternateContent xmlns:mc="http://schemas.openxmlformats.org/markup-compatibility/2006" xmlns:a14="http://schemas.microsoft.com/office/drawing/2010/main">
      <mc:Choice Requires="a14">
        <xdr:graphicFrame macro="">
          <xdr:nvGraphicFramePr>
            <xdr:cNvPr id="2" name="FinYr 21"/>
            <xdr:cNvGraphicFramePr/>
          </xdr:nvGraphicFramePr>
          <xdr:xfrm>
            <a:off x="0" y="0"/>
            <a:ext cx="0" cy="0"/>
          </xdr:xfrm>
          <a:graphic>
            <a:graphicData uri="http://schemas.microsoft.com/office/drawing/2010/slicer">
              <sle:slicer xmlns:sle="http://schemas.microsoft.com/office/drawing/2010/slicer" name="FinYr 21"/>
            </a:graphicData>
          </a:graphic>
        </xdr:graphicFrame>
      </mc:Choice>
      <mc:Fallback xmlns="">
        <xdr:sp macro="" textlink="">
          <xdr:nvSpPr>
            <xdr:cNvPr id="0" name=""/>
            <xdr:cNvSpPr>
              <a:spLocks noTextEdit="1"/>
            </xdr:cNvSpPr>
          </xdr:nvSpPr>
          <xdr:spPr>
            <a:xfrm>
              <a:off x="3314700" y="428625"/>
              <a:ext cx="4410075" cy="4476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85725</xdr:colOff>
      <xdr:row>26</xdr:row>
      <xdr:rowOff>38100</xdr:rowOff>
    </xdr:from>
    <xdr:to>
      <xdr:col>8</xdr:col>
      <xdr:colOff>161925</xdr:colOff>
      <xdr:row>28</xdr:row>
      <xdr:rowOff>85724</xdr:rowOff>
    </xdr:to>
    <mc:AlternateContent xmlns:mc="http://schemas.openxmlformats.org/markup-compatibility/2006" xmlns:a14="http://schemas.microsoft.com/office/drawing/2010/main">
      <mc:Choice Requires="a14">
        <xdr:graphicFrame macro="">
          <xdr:nvGraphicFramePr>
            <xdr:cNvPr id="4" name="FinYr 24"/>
            <xdr:cNvGraphicFramePr/>
          </xdr:nvGraphicFramePr>
          <xdr:xfrm>
            <a:off x="0" y="0"/>
            <a:ext cx="0" cy="0"/>
          </xdr:xfrm>
          <a:graphic>
            <a:graphicData uri="http://schemas.microsoft.com/office/drawing/2010/slicer">
              <sle:slicer xmlns:sle="http://schemas.microsoft.com/office/drawing/2010/slicer" name="FinYr 24"/>
            </a:graphicData>
          </a:graphic>
        </xdr:graphicFrame>
      </mc:Choice>
      <mc:Fallback xmlns="">
        <xdr:sp macro="" textlink="">
          <xdr:nvSpPr>
            <xdr:cNvPr id="0" name=""/>
            <xdr:cNvSpPr>
              <a:spLocks noTextEdit="1"/>
            </xdr:cNvSpPr>
          </xdr:nvSpPr>
          <xdr:spPr>
            <a:xfrm>
              <a:off x="3067050" y="5362575"/>
              <a:ext cx="4410075" cy="4476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923924</xdr:colOff>
      <xdr:row>19</xdr:row>
      <xdr:rowOff>1</xdr:rowOff>
    </xdr:from>
    <xdr:to>
      <xdr:col>10</xdr:col>
      <xdr:colOff>66674</xdr:colOff>
      <xdr:row>21</xdr:row>
      <xdr:rowOff>66675</xdr:rowOff>
    </xdr:to>
    <mc:AlternateContent xmlns:mc="http://schemas.openxmlformats.org/markup-compatibility/2006" xmlns:a14="http://schemas.microsoft.com/office/drawing/2010/main">
      <mc:Choice Requires="a14">
        <xdr:graphicFrame macro="">
          <xdr:nvGraphicFramePr>
            <xdr:cNvPr id="2" name="FinYr 20"/>
            <xdr:cNvGraphicFramePr/>
          </xdr:nvGraphicFramePr>
          <xdr:xfrm>
            <a:off x="0" y="0"/>
            <a:ext cx="0" cy="0"/>
          </xdr:xfrm>
          <a:graphic>
            <a:graphicData uri="http://schemas.microsoft.com/office/drawing/2010/slicer">
              <sle:slicer xmlns:sle="http://schemas.microsoft.com/office/drawing/2010/slicer" name="FinYr 20"/>
            </a:graphicData>
          </a:graphic>
        </xdr:graphicFrame>
      </mc:Choice>
      <mc:Fallback xmlns="">
        <xdr:sp macro="" textlink="">
          <xdr:nvSpPr>
            <xdr:cNvPr id="0" name=""/>
            <xdr:cNvSpPr>
              <a:spLocks noTextEdit="1"/>
            </xdr:cNvSpPr>
          </xdr:nvSpPr>
          <xdr:spPr>
            <a:xfrm>
              <a:off x="3238499" y="3619501"/>
              <a:ext cx="4410075" cy="4476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419101</xdr:colOff>
      <xdr:row>2</xdr:row>
      <xdr:rowOff>104775</xdr:rowOff>
    </xdr:from>
    <xdr:to>
      <xdr:col>5</xdr:col>
      <xdr:colOff>419101</xdr:colOff>
      <xdr:row>4</xdr:row>
      <xdr:rowOff>104775</xdr:rowOff>
    </xdr:to>
    <mc:AlternateContent xmlns:mc="http://schemas.openxmlformats.org/markup-compatibility/2006" xmlns:a14="http://schemas.microsoft.com/office/drawing/2010/main">
      <mc:Choice Requires="a14">
        <xdr:graphicFrame macro="">
          <xdr:nvGraphicFramePr>
            <xdr:cNvPr id="2" name="FinYr 23"/>
            <xdr:cNvGraphicFramePr/>
          </xdr:nvGraphicFramePr>
          <xdr:xfrm>
            <a:off x="0" y="0"/>
            <a:ext cx="0" cy="0"/>
          </xdr:xfrm>
          <a:graphic>
            <a:graphicData uri="http://schemas.microsoft.com/office/drawing/2010/slicer">
              <sle:slicer xmlns:sle="http://schemas.microsoft.com/office/drawing/2010/slicer" name="FinYr 23"/>
            </a:graphicData>
          </a:graphic>
        </xdr:graphicFrame>
      </mc:Choice>
      <mc:Fallback xmlns="">
        <xdr:sp macro="" textlink="">
          <xdr:nvSpPr>
            <xdr:cNvPr id="0" name=""/>
            <xdr:cNvSpPr>
              <a:spLocks noTextEdit="1"/>
            </xdr:cNvSpPr>
          </xdr:nvSpPr>
          <xdr:spPr>
            <a:xfrm>
              <a:off x="3876676" y="495300"/>
              <a:ext cx="1885950"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323850</xdr:colOff>
      <xdr:row>26</xdr:row>
      <xdr:rowOff>47625</xdr:rowOff>
    </xdr:from>
    <xdr:to>
      <xdr:col>5</xdr:col>
      <xdr:colOff>323850</xdr:colOff>
      <xdr:row>28</xdr:row>
      <xdr:rowOff>66675</xdr:rowOff>
    </xdr:to>
    <mc:AlternateContent xmlns:mc="http://schemas.openxmlformats.org/markup-compatibility/2006" xmlns:a14="http://schemas.microsoft.com/office/drawing/2010/main">
      <mc:Choice Requires="a14">
        <xdr:graphicFrame macro="">
          <xdr:nvGraphicFramePr>
            <xdr:cNvPr id="3" name="FinYr 30"/>
            <xdr:cNvGraphicFramePr/>
          </xdr:nvGraphicFramePr>
          <xdr:xfrm>
            <a:off x="0" y="0"/>
            <a:ext cx="0" cy="0"/>
          </xdr:xfrm>
          <a:graphic>
            <a:graphicData uri="http://schemas.microsoft.com/office/drawing/2010/slicer">
              <sle:slicer xmlns:sle="http://schemas.microsoft.com/office/drawing/2010/slicer" name="FinYr 30"/>
            </a:graphicData>
          </a:graphic>
        </xdr:graphicFrame>
      </mc:Choice>
      <mc:Fallback xmlns="">
        <xdr:sp macro="" textlink="">
          <xdr:nvSpPr>
            <xdr:cNvPr id="0" name=""/>
            <xdr:cNvSpPr>
              <a:spLocks noTextEdit="1"/>
            </xdr:cNvSpPr>
          </xdr:nvSpPr>
          <xdr:spPr>
            <a:xfrm>
              <a:off x="3781425" y="5572125"/>
              <a:ext cx="1885950"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838200</xdr:colOff>
      <xdr:row>16</xdr:row>
      <xdr:rowOff>47625</xdr:rowOff>
    </xdr:from>
    <xdr:to>
      <xdr:col>6</xdr:col>
      <xdr:colOff>600076</xdr:colOff>
      <xdr:row>19</xdr:row>
      <xdr:rowOff>19050</xdr:rowOff>
    </xdr:to>
    <mc:AlternateContent xmlns:mc="http://schemas.openxmlformats.org/markup-compatibility/2006" xmlns:a14="http://schemas.microsoft.com/office/drawing/2010/main">
      <mc:Choice Requires="a14">
        <xdr:graphicFrame macro="">
          <xdr:nvGraphicFramePr>
            <xdr:cNvPr id="2" name="FinYr 22"/>
            <xdr:cNvGraphicFramePr/>
          </xdr:nvGraphicFramePr>
          <xdr:xfrm>
            <a:off x="0" y="0"/>
            <a:ext cx="0" cy="0"/>
          </xdr:xfrm>
          <a:graphic>
            <a:graphicData uri="http://schemas.microsoft.com/office/drawing/2010/slicer">
              <sle:slicer xmlns:sle="http://schemas.microsoft.com/office/drawing/2010/slicer" name="FinYr 22"/>
            </a:graphicData>
          </a:graphic>
        </xdr:graphicFrame>
      </mc:Choice>
      <mc:Fallback xmlns="">
        <xdr:sp macro="" textlink="">
          <xdr:nvSpPr>
            <xdr:cNvPr id="0" name=""/>
            <xdr:cNvSpPr>
              <a:spLocks noTextEdit="1"/>
            </xdr:cNvSpPr>
          </xdr:nvSpPr>
          <xdr:spPr>
            <a:xfrm>
              <a:off x="3152775" y="3095625"/>
              <a:ext cx="2219326" cy="5429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1</xdr:colOff>
      <xdr:row>6</xdr:row>
      <xdr:rowOff>0</xdr:rowOff>
    </xdr:from>
    <xdr:to>
      <xdr:col>7</xdr:col>
      <xdr:colOff>26859</xdr:colOff>
      <xdr:row>48</xdr:row>
      <xdr:rowOff>41400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1" y="1171575"/>
          <a:ext cx="3074858" cy="80424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10</xdr:colOff>
      <xdr:row>6</xdr:row>
      <xdr:rowOff>0</xdr:rowOff>
    </xdr:from>
    <xdr:to>
      <xdr:col>10</xdr:col>
      <xdr:colOff>368732</xdr:colOff>
      <xdr:row>28</xdr:row>
      <xdr:rowOff>129000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10" y="1171575"/>
          <a:ext cx="5245522" cy="4320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10</xdr:col>
      <xdr:colOff>240030</xdr:colOff>
      <xdr:row>25</xdr:row>
      <xdr:rowOff>140335</xdr:rowOff>
    </xdr:to>
    <xdr:pic>
      <xdr:nvPicPr>
        <xdr:cNvPr id="3" name="Picture 2" descr="C:\Users\gregor.welsh\StationFootprint\Rplot99.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1171575"/>
          <a:ext cx="5116830" cy="375983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5</xdr:col>
      <xdr:colOff>0</xdr:colOff>
      <xdr:row>42</xdr:row>
      <xdr:rowOff>38101</xdr:rowOff>
    </xdr:from>
    <xdr:to>
      <xdr:col>9</xdr:col>
      <xdr:colOff>571499</xdr:colOff>
      <xdr:row>57</xdr:row>
      <xdr:rowOff>123826</xdr:rowOff>
    </xdr:to>
    <xdr:graphicFrame macro="">
      <xdr:nvGraphicFramePr>
        <xdr:cNvPr id="16" name="Chart 15">
          <a:extLst>
            <a:ext uri="{FF2B5EF4-FFF2-40B4-BE49-F238E27FC236}">
              <a16:creationId xmlns:a16="http://schemas.microsoft.com/office/drawing/2014/main" xmlns="" id="{00000000-0008-0000-2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38101</xdr:rowOff>
    </xdr:from>
    <xdr:to>
      <xdr:col>4</xdr:col>
      <xdr:colOff>571499</xdr:colOff>
      <xdr:row>57</xdr:row>
      <xdr:rowOff>123826</xdr:rowOff>
    </xdr:to>
    <xdr:graphicFrame macro="">
      <xdr:nvGraphicFramePr>
        <xdr:cNvPr id="17" name="Chart 16">
          <a:extLst>
            <a:ext uri="{FF2B5EF4-FFF2-40B4-BE49-F238E27FC236}">
              <a16:creationId xmlns:a16="http://schemas.microsoft.com/office/drawing/2014/main" xmlns="" id="{00000000-0008-0000-2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42</xdr:row>
      <xdr:rowOff>47626</xdr:rowOff>
    </xdr:from>
    <xdr:to>
      <xdr:col>14</xdr:col>
      <xdr:colOff>581024</xdr:colOff>
      <xdr:row>57</xdr:row>
      <xdr:rowOff>133351</xdr:rowOff>
    </xdr:to>
    <xdr:graphicFrame macro="">
      <xdr:nvGraphicFramePr>
        <xdr:cNvPr id="18" name="Chart 17">
          <a:extLst>
            <a:ext uri="{FF2B5EF4-FFF2-40B4-BE49-F238E27FC236}">
              <a16:creationId xmlns:a16="http://schemas.microsoft.com/office/drawing/2014/main" xmlns="" id="{00000000-0008-0000-2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59</xdr:row>
      <xdr:rowOff>38101</xdr:rowOff>
    </xdr:from>
    <xdr:to>
      <xdr:col>4</xdr:col>
      <xdr:colOff>571499</xdr:colOff>
      <xdr:row>74</xdr:row>
      <xdr:rowOff>123826</xdr:rowOff>
    </xdr:to>
    <xdr:graphicFrame macro="">
      <xdr:nvGraphicFramePr>
        <xdr:cNvPr id="19" name="Chart 18">
          <a:extLst>
            <a:ext uri="{FF2B5EF4-FFF2-40B4-BE49-F238E27FC236}">
              <a16:creationId xmlns:a16="http://schemas.microsoft.com/office/drawing/2014/main" xmlns="" id="{00000000-0008-0000-2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59</xdr:row>
      <xdr:rowOff>38101</xdr:rowOff>
    </xdr:from>
    <xdr:to>
      <xdr:col>9</xdr:col>
      <xdr:colOff>571499</xdr:colOff>
      <xdr:row>74</xdr:row>
      <xdr:rowOff>123826</xdr:rowOff>
    </xdr:to>
    <xdr:graphicFrame macro="">
      <xdr:nvGraphicFramePr>
        <xdr:cNvPr id="20" name="Chart 19">
          <a:extLst>
            <a:ext uri="{FF2B5EF4-FFF2-40B4-BE49-F238E27FC236}">
              <a16:creationId xmlns:a16="http://schemas.microsoft.com/office/drawing/2014/main" xmlns="" id="{00000000-0008-0000-2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590550</xdr:colOff>
      <xdr:row>59</xdr:row>
      <xdr:rowOff>38101</xdr:rowOff>
    </xdr:from>
    <xdr:to>
      <xdr:col>14</xdr:col>
      <xdr:colOff>552449</xdr:colOff>
      <xdr:row>74</xdr:row>
      <xdr:rowOff>123826</xdr:rowOff>
    </xdr:to>
    <xdr:graphicFrame macro="">
      <xdr:nvGraphicFramePr>
        <xdr:cNvPr id="21" name="Chart 20">
          <a:extLst>
            <a:ext uri="{FF2B5EF4-FFF2-40B4-BE49-F238E27FC236}">
              <a16:creationId xmlns:a16="http://schemas.microsoft.com/office/drawing/2014/main" xmlns="" id="{00000000-0008-0000-2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xdr:col>
      <xdr:colOff>0</xdr:colOff>
      <xdr:row>6</xdr:row>
      <xdr:rowOff>0</xdr:rowOff>
    </xdr:from>
    <xdr:to>
      <xdr:col>11</xdr:col>
      <xdr:colOff>245110</xdr:colOff>
      <xdr:row>28</xdr:row>
      <xdr:rowOff>19685</xdr:rowOff>
    </xdr:to>
    <xdr:pic>
      <xdr:nvPicPr>
        <xdr:cNvPr id="9" name="Picture 8" descr="C:\Users\gregor.welsh\StationFootprint\Rplot97.png"/>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19200" y="1171575"/>
          <a:ext cx="5731510" cy="4210685"/>
        </a:xfrm>
        <a:prstGeom prst="rect">
          <a:avLst/>
        </a:prstGeom>
        <a:noFill/>
        <a:ln>
          <a:noFill/>
        </a:ln>
      </xdr:spPr>
    </xdr:pic>
    <xdr:clientData/>
  </xdr:twoCellAnchor>
</xdr:wsDr>
</file>

<file path=xl/drawings/drawing39.xml><?xml version="1.0" encoding="utf-8"?>
<c:userShapes xmlns:c="http://schemas.openxmlformats.org/drawingml/2006/chart">
  <cdr:relSizeAnchor xmlns:cdr="http://schemas.openxmlformats.org/drawingml/2006/chartDrawing">
    <cdr:from>
      <cdr:x>0.01667</cdr:x>
      <cdr:y>0.00837</cdr:y>
    </cdr:from>
    <cdr:to>
      <cdr:x>0.91458</cdr:x>
      <cdr:y>0.13944</cdr:y>
    </cdr:to>
    <cdr:sp macro="" textlink="">
      <cdr:nvSpPr>
        <cdr:cNvPr id="2" name="TextBox 1"/>
        <cdr:cNvSpPr txBox="1"/>
      </cdr:nvSpPr>
      <cdr:spPr>
        <a:xfrm xmlns:a="http://schemas.openxmlformats.org/drawingml/2006/main">
          <a:off x="50175" y="20020"/>
          <a:ext cx="2702618" cy="313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solidFill>
                <a:schemeClr val="tx1">
                  <a:lumMod val="65000"/>
                  <a:lumOff val="35000"/>
                </a:schemeClr>
              </a:solidFill>
            </a:rPr>
            <a:t>Retained Duty System</a:t>
          </a:r>
          <a:endParaRPr lang="en-GB" sz="1400" b="1">
            <a:solidFill>
              <a:schemeClr val="tx1">
                <a:lumMod val="65000"/>
                <a:lumOff val="35000"/>
              </a:schemeClr>
            </a:solidFill>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2</xdr:col>
      <xdr:colOff>152399</xdr:colOff>
      <xdr:row>3</xdr:row>
      <xdr:rowOff>85725</xdr:rowOff>
    </xdr:from>
    <xdr:ext cx="2524125" cy="504825"/>
    <mc:AlternateContent xmlns:mc="http://schemas.openxmlformats.org/markup-compatibility/2006" xmlns:a14="http://schemas.microsoft.com/office/drawing/2010/main">
      <mc:Choice Requires="a14">
        <xdr:graphicFrame macro="">
          <xdr:nvGraphicFramePr>
            <xdr:cNvPr id="2" name="FisYr 4"/>
            <xdr:cNvGraphicFramePr/>
          </xdr:nvGraphicFramePr>
          <xdr:xfrm>
            <a:off x="0" y="0"/>
            <a:ext cx="0" cy="0"/>
          </xdr:xfrm>
          <a:graphic>
            <a:graphicData uri="http://schemas.microsoft.com/office/drawing/2010/slicer">
              <sle:slicer xmlns:sle="http://schemas.microsoft.com/office/drawing/2010/slicer" name="FisYr 4"/>
            </a:graphicData>
          </a:graphic>
        </xdr:graphicFrame>
      </mc:Choice>
      <mc:Fallback xmlns="">
        <xdr:sp macro="" textlink="">
          <xdr:nvSpPr>
            <xdr:cNvPr id="0" name=""/>
            <xdr:cNvSpPr>
              <a:spLocks noTextEdit="1"/>
            </xdr:cNvSpPr>
          </xdr:nvSpPr>
          <xdr:spPr>
            <a:xfrm>
              <a:off x="2409824" y="657225"/>
              <a:ext cx="2524125" cy="5048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2</xdr:col>
      <xdr:colOff>333375</xdr:colOff>
      <xdr:row>43</xdr:row>
      <xdr:rowOff>123826</xdr:rowOff>
    </xdr:from>
    <xdr:ext cx="2619375" cy="438149"/>
    <mc:AlternateContent xmlns:mc="http://schemas.openxmlformats.org/markup-compatibility/2006" xmlns:a14="http://schemas.microsoft.com/office/drawing/2010/main">
      <mc:Choice Requires="a14">
        <xdr:graphicFrame macro="">
          <xdr:nvGraphicFramePr>
            <xdr:cNvPr id="3" name="FisYr 5"/>
            <xdr:cNvGraphicFramePr/>
          </xdr:nvGraphicFramePr>
          <xdr:xfrm>
            <a:off x="0" y="0"/>
            <a:ext cx="0" cy="0"/>
          </xdr:xfrm>
          <a:graphic>
            <a:graphicData uri="http://schemas.microsoft.com/office/drawing/2010/slicer">
              <sle:slicer xmlns:sle="http://schemas.microsoft.com/office/drawing/2010/slicer" name="FisYr 5"/>
            </a:graphicData>
          </a:graphic>
        </xdr:graphicFrame>
      </mc:Choice>
      <mc:Fallback xmlns="">
        <xdr:sp macro="" textlink="">
          <xdr:nvSpPr>
            <xdr:cNvPr id="0" name=""/>
            <xdr:cNvSpPr>
              <a:spLocks noTextEdit="1"/>
            </xdr:cNvSpPr>
          </xdr:nvSpPr>
          <xdr:spPr>
            <a:xfrm>
              <a:off x="2590800" y="8315326"/>
              <a:ext cx="2619375" cy="4381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drawings/drawing40.xml><?xml version="1.0" encoding="utf-8"?>
<c:userShapes xmlns:c="http://schemas.openxmlformats.org/drawingml/2006/chart">
  <cdr:relSizeAnchor xmlns:cdr="http://schemas.openxmlformats.org/drawingml/2006/chartDrawing">
    <cdr:from>
      <cdr:x>0.01667</cdr:x>
      <cdr:y>0.00837</cdr:y>
    </cdr:from>
    <cdr:to>
      <cdr:x>0.91458</cdr:x>
      <cdr:y>0.13944</cdr:y>
    </cdr:to>
    <cdr:sp macro="" textlink="">
      <cdr:nvSpPr>
        <cdr:cNvPr id="2" name="TextBox 1"/>
        <cdr:cNvSpPr txBox="1"/>
      </cdr:nvSpPr>
      <cdr:spPr>
        <a:xfrm xmlns:a="http://schemas.openxmlformats.org/drawingml/2006/main">
          <a:off x="50175" y="20020"/>
          <a:ext cx="2702618" cy="313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solidFill>
                <a:schemeClr val="tx1">
                  <a:lumMod val="65000"/>
                  <a:lumOff val="35000"/>
                </a:schemeClr>
              </a:solidFill>
            </a:rPr>
            <a:t>Wholetime Operational</a:t>
          </a:r>
        </a:p>
      </cdr:txBody>
    </cdr:sp>
  </cdr:relSizeAnchor>
</c:userShapes>
</file>

<file path=xl/drawings/drawing41.xml><?xml version="1.0" encoding="utf-8"?>
<c:userShapes xmlns:c="http://schemas.openxmlformats.org/drawingml/2006/chart">
  <cdr:relSizeAnchor xmlns:cdr="http://schemas.openxmlformats.org/drawingml/2006/chartDrawing">
    <cdr:from>
      <cdr:x>0.01667</cdr:x>
      <cdr:y>0.00837</cdr:y>
    </cdr:from>
    <cdr:to>
      <cdr:x>0.91458</cdr:x>
      <cdr:y>0.13944</cdr:y>
    </cdr:to>
    <cdr:sp macro="" textlink="">
      <cdr:nvSpPr>
        <cdr:cNvPr id="2" name="TextBox 1"/>
        <cdr:cNvSpPr txBox="1"/>
      </cdr:nvSpPr>
      <cdr:spPr>
        <a:xfrm xmlns:a="http://schemas.openxmlformats.org/drawingml/2006/main">
          <a:off x="50175" y="20020"/>
          <a:ext cx="2702618" cy="313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solidFill>
                <a:schemeClr val="tx1">
                  <a:lumMod val="65000"/>
                  <a:lumOff val="35000"/>
                </a:schemeClr>
              </a:solidFill>
            </a:rPr>
            <a:t>Volunteer</a:t>
          </a:r>
          <a:endParaRPr lang="en-GB" sz="1400" b="1">
            <a:solidFill>
              <a:schemeClr val="tx1">
                <a:lumMod val="65000"/>
                <a:lumOff val="35000"/>
              </a:schemeClr>
            </a:solidFill>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0.01667</cdr:x>
      <cdr:y>0.00837</cdr:y>
    </cdr:from>
    <cdr:to>
      <cdr:x>0.91458</cdr:x>
      <cdr:y>0.13944</cdr:y>
    </cdr:to>
    <cdr:sp macro="" textlink="">
      <cdr:nvSpPr>
        <cdr:cNvPr id="2" name="TextBox 1"/>
        <cdr:cNvSpPr txBox="1"/>
      </cdr:nvSpPr>
      <cdr:spPr>
        <a:xfrm xmlns:a="http://schemas.openxmlformats.org/drawingml/2006/main">
          <a:off x="50175" y="20020"/>
          <a:ext cx="2702618" cy="313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solidFill>
                <a:schemeClr val="tx1">
                  <a:lumMod val="65000"/>
                  <a:lumOff val="35000"/>
                </a:schemeClr>
              </a:solidFill>
            </a:rPr>
            <a:t>Control</a:t>
          </a:r>
        </a:p>
      </cdr:txBody>
    </cdr:sp>
  </cdr:relSizeAnchor>
</c:userShapes>
</file>

<file path=xl/drawings/drawing43.xml><?xml version="1.0" encoding="utf-8"?>
<c:userShapes xmlns:c="http://schemas.openxmlformats.org/drawingml/2006/chart">
  <cdr:relSizeAnchor xmlns:cdr="http://schemas.openxmlformats.org/drawingml/2006/chartDrawing">
    <cdr:from>
      <cdr:x>0.01667</cdr:x>
      <cdr:y>0.00837</cdr:y>
    </cdr:from>
    <cdr:to>
      <cdr:x>0.91458</cdr:x>
      <cdr:y>0.13944</cdr:y>
    </cdr:to>
    <cdr:sp macro="" textlink="">
      <cdr:nvSpPr>
        <cdr:cNvPr id="2" name="TextBox 1"/>
        <cdr:cNvSpPr txBox="1"/>
      </cdr:nvSpPr>
      <cdr:spPr>
        <a:xfrm xmlns:a="http://schemas.openxmlformats.org/drawingml/2006/main">
          <a:off x="50175" y="20020"/>
          <a:ext cx="2702618" cy="313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solidFill>
                <a:schemeClr val="tx1">
                  <a:lumMod val="65000"/>
                  <a:lumOff val="35000"/>
                </a:schemeClr>
              </a:solidFill>
            </a:rPr>
            <a:t>Support Staff</a:t>
          </a:r>
        </a:p>
      </cdr:txBody>
    </cdr:sp>
  </cdr:relSizeAnchor>
</c:userShapes>
</file>

<file path=xl/drawings/drawing44.xml><?xml version="1.0" encoding="utf-8"?>
<c:userShapes xmlns:c="http://schemas.openxmlformats.org/drawingml/2006/chart">
  <cdr:relSizeAnchor xmlns:cdr="http://schemas.openxmlformats.org/drawingml/2006/chartDrawing">
    <cdr:from>
      <cdr:x>0.01667</cdr:x>
      <cdr:y>0.00837</cdr:y>
    </cdr:from>
    <cdr:to>
      <cdr:x>0.91458</cdr:x>
      <cdr:y>0.13944</cdr:y>
    </cdr:to>
    <cdr:sp macro="" textlink="">
      <cdr:nvSpPr>
        <cdr:cNvPr id="2" name="TextBox 1"/>
        <cdr:cNvSpPr txBox="1"/>
      </cdr:nvSpPr>
      <cdr:spPr>
        <a:xfrm xmlns:a="http://schemas.openxmlformats.org/drawingml/2006/main">
          <a:off x="50175" y="20020"/>
          <a:ext cx="2702618" cy="313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solidFill>
                <a:schemeClr val="tx1">
                  <a:lumMod val="65000"/>
                  <a:lumOff val="35000"/>
                </a:schemeClr>
              </a:solidFill>
            </a:rPr>
            <a:t>All Staff</a:t>
          </a:r>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2</xdr:col>
      <xdr:colOff>266698</xdr:colOff>
      <xdr:row>0</xdr:row>
      <xdr:rowOff>161925</xdr:rowOff>
    </xdr:from>
    <xdr:to>
      <xdr:col>5</xdr:col>
      <xdr:colOff>752474</xdr:colOff>
      <xdr:row>3</xdr:row>
      <xdr:rowOff>171450</xdr:rowOff>
    </xdr:to>
    <mc:AlternateContent xmlns:mc="http://schemas.openxmlformats.org/markup-compatibility/2006" xmlns:a14="http://schemas.microsoft.com/office/drawing/2010/main">
      <mc:Choice Requires="a14">
        <xdr:graphicFrame macro="">
          <xdr:nvGraphicFramePr>
            <xdr:cNvPr id="4" name="FisYr 2"/>
            <xdr:cNvGraphicFramePr/>
          </xdr:nvGraphicFramePr>
          <xdr:xfrm>
            <a:off x="0" y="0"/>
            <a:ext cx="0" cy="0"/>
          </xdr:xfrm>
          <a:graphic>
            <a:graphicData uri="http://schemas.microsoft.com/office/drawing/2010/slicer">
              <sle:slicer xmlns:sle="http://schemas.microsoft.com/office/drawing/2010/slicer" name="FisYr 2"/>
            </a:graphicData>
          </a:graphic>
        </xdr:graphicFrame>
      </mc:Choice>
      <mc:Fallback xmlns="">
        <xdr:sp macro="" textlink="">
          <xdr:nvSpPr>
            <xdr:cNvPr id="0" name=""/>
            <xdr:cNvSpPr>
              <a:spLocks noTextEdit="1"/>
            </xdr:cNvSpPr>
          </xdr:nvSpPr>
          <xdr:spPr>
            <a:xfrm>
              <a:off x="2924173" y="161925"/>
              <a:ext cx="3448051" cy="5810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9</xdr:col>
      <xdr:colOff>410210</xdr:colOff>
      <xdr:row>26</xdr:row>
      <xdr:rowOff>70485</xdr:rowOff>
    </xdr:to>
    <xdr:pic>
      <xdr:nvPicPr>
        <xdr:cNvPr id="4" name="Picture 3" descr="C:\Users\gregor.welsh\StationFootprint\Rplot141.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171575"/>
          <a:ext cx="5287010" cy="3880485"/>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10</xdr:col>
      <xdr:colOff>161925</xdr:colOff>
      <xdr:row>26</xdr:row>
      <xdr:rowOff>85725</xdr:rowOff>
    </xdr:to>
    <xdr:pic>
      <xdr:nvPicPr>
        <xdr:cNvPr id="4" name="Picture 3" descr="C:\Users\gregor.welsh\StationFootprint\Rplot143.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1171575"/>
          <a:ext cx="5038725" cy="3895725"/>
        </a:xfrm>
        <a:prstGeom prst="rect">
          <a:avLst/>
        </a:prstGeom>
        <a:noFill/>
        <a:ln>
          <a:noFill/>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504825</xdr:colOff>
      <xdr:row>4</xdr:row>
      <xdr:rowOff>123825</xdr:rowOff>
    </xdr:from>
    <xdr:to>
      <xdr:col>8</xdr:col>
      <xdr:colOff>476250</xdr:colOff>
      <xdr:row>7</xdr:row>
      <xdr:rowOff>0</xdr:rowOff>
    </xdr:to>
    <mc:AlternateContent xmlns:mc="http://schemas.openxmlformats.org/markup-compatibility/2006" xmlns:a14="http://schemas.microsoft.com/office/drawing/2010/main">
      <mc:Choice Requires="a14">
        <xdr:graphicFrame macro="">
          <xdr:nvGraphicFramePr>
            <xdr:cNvPr id="2" name="FisYr 7"/>
            <xdr:cNvGraphicFramePr/>
          </xdr:nvGraphicFramePr>
          <xdr:xfrm>
            <a:off x="0" y="0"/>
            <a:ext cx="0" cy="0"/>
          </xdr:xfrm>
          <a:graphic>
            <a:graphicData uri="http://schemas.microsoft.com/office/drawing/2010/slicer">
              <sle:slicer xmlns:sle="http://schemas.microsoft.com/office/drawing/2010/slicer" name="FisYr 7"/>
            </a:graphicData>
          </a:graphic>
        </xdr:graphicFrame>
      </mc:Choice>
      <mc:Fallback xmlns="">
        <xdr:sp macro="" textlink="">
          <xdr:nvSpPr>
            <xdr:cNvPr id="0" name=""/>
            <xdr:cNvSpPr>
              <a:spLocks noTextEdit="1"/>
            </xdr:cNvSpPr>
          </xdr:nvSpPr>
          <xdr:spPr>
            <a:xfrm>
              <a:off x="3495675" y="904875"/>
              <a:ext cx="4600575" cy="476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695326</xdr:colOff>
      <xdr:row>4</xdr:row>
      <xdr:rowOff>104776</xdr:rowOff>
    </xdr:from>
    <xdr:to>
      <xdr:col>8</xdr:col>
      <xdr:colOff>285750</xdr:colOff>
      <xdr:row>7</xdr:row>
      <xdr:rowOff>9526</xdr:rowOff>
    </xdr:to>
    <mc:AlternateContent xmlns:mc="http://schemas.openxmlformats.org/markup-compatibility/2006" xmlns:a14="http://schemas.microsoft.com/office/drawing/2010/main">
      <mc:Choice Requires="a14">
        <xdr:graphicFrame macro="">
          <xdr:nvGraphicFramePr>
            <xdr:cNvPr id="2" name="FisYr 8"/>
            <xdr:cNvGraphicFramePr/>
          </xdr:nvGraphicFramePr>
          <xdr:xfrm>
            <a:off x="0" y="0"/>
            <a:ext cx="0" cy="0"/>
          </xdr:xfrm>
          <a:graphic>
            <a:graphicData uri="http://schemas.microsoft.com/office/drawing/2010/slicer">
              <sle:slicer xmlns:sle="http://schemas.microsoft.com/office/drawing/2010/slicer" name="FisYr 8"/>
            </a:graphicData>
          </a:graphic>
        </xdr:graphicFrame>
      </mc:Choice>
      <mc:Fallback xmlns="">
        <xdr:sp macro="" textlink="">
          <xdr:nvSpPr>
            <xdr:cNvPr id="0" name=""/>
            <xdr:cNvSpPr>
              <a:spLocks noTextEdit="1"/>
            </xdr:cNvSpPr>
          </xdr:nvSpPr>
          <xdr:spPr>
            <a:xfrm>
              <a:off x="3352801" y="885826"/>
              <a:ext cx="4581524" cy="476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oneCellAnchor>
    <xdr:from>
      <xdr:col>2</xdr:col>
      <xdr:colOff>895350</xdr:colOff>
      <xdr:row>2</xdr:row>
      <xdr:rowOff>76200</xdr:rowOff>
    </xdr:from>
    <xdr:ext cx="2619375" cy="438149"/>
    <mc:AlternateContent xmlns:mc="http://schemas.openxmlformats.org/markup-compatibility/2006" xmlns:a14="http://schemas.microsoft.com/office/drawing/2010/main">
      <mc:Choice Requires="a14">
        <xdr:graphicFrame macro="">
          <xdr:nvGraphicFramePr>
            <xdr:cNvPr id="4" name="FisYr 10"/>
            <xdr:cNvGraphicFramePr/>
          </xdr:nvGraphicFramePr>
          <xdr:xfrm>
            <a:off x="0" y="0"/>
            <a:ext cx="0" cy="0"/>
          </xdr:xfrm>
          <a:graphic>
            <a:graphicData uri="http://schemas.microsoft.com/office/drawing/2010/slicer">
              <sle:slicer xmlns:sle="http://schemas.microsoft.com/office/drawing/2010/slicer" name="FisYr 10"/>
            </a:graphicData>
          </a:graphic>
        </xdr:graphicFrame>
      </mc:Choice>
      <mc:Fallback xmlns="">
        <xdr:sp macro="" textlink="">
          <xdr:nvSpPr>
            <xdr:cNvPr id="0" name=""/>
            <xdr:cNvSpPr>
              <a:spLocks noTextEdit="1"/>
            </xdr:cNvSpPr>
          </xdr:nvSpPr>
          <xdr:spPr>
            <a:xfrm>
              <a:off x="3990975" y="504825"/>
              <a:ext cx="2619375" cy="4381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drawings/drawing50.xml><?xml version="1.0" encoding="utf-8"?>
<xdr:wsDr xmlns:xdr="http://schemas.openxmlformats.org/drawingml/2006/spreadsheetDrawing" xmlns:a="http://schemas.openxmlformats.org/drawingml/2006/main">
  <xdr:twoCellAnchor editAs="oneCell">
    <xdr:from>
      <xdr:col>2</xdr:col>
      <xdr:colOff>609599</xdr:colOff>
      <xdr:row>8</xdr:row>
      <xdr:rowOff>57150</xdr:rowOff>
    </xdr:from>
    <xdr:to>
      <xdr:col>7</xdr:col>
      <xdr:colOff>733424</xdr:colOff>
      <xdr:row>10</xdr:row>
      <xdr:rowOff>171450</xdr:rowOff>
    </xdr:to>
    <mc:AlternateContent xmlns:mc="http://schemas.openxmlformats.org/markup-compatibility/2006" xmlns:a14="http://schemas.microsoft.com/office/drawing/2010/main">
      <mc:Choice Requires="a14">
        <xdr:graphicFrame macro="">
          <xdr:nvGraphicFramePr>
            <xdr:cNvPr id="2" name="FisYr 6"/>
            <xdr:cNvGraphicFramePr/>
          </xdr:nvGraphicFramePr>
          <xdr:xfrm>
            <a:off x="0" y="0"/>
            <a:ext cx="0" cy="0"/>
          </xdr:xfrm>
          <a:graphic>
            <a:graphicData uri="http://schemas.microsoft.com/office/drawing/2010/slicer">
              <sle:slicer xmlns:sle="http://schemas.microsoft.com/office/drawing/2010/slicer" name="FisYr 6"/>
            </a:graphicData>
          </a:graphic>
        </xdr:graphicFrame>
      </mc:Choice>
      <mc:Fallback xmlns="">
        <xdr:sp macro="" textlink="">
          <xdr:nvSpPr>
            <xdr:cNvPr id="0" name=""/>
            <xdr:cNvSpPr>
              <a:spLocks noTextEdit="1"/>
            </xdr:cNvSpPr>
          </xdr:nvSpPr>
          <xdr:spPr>
            <a:xfrm>
              <a:off x="3733799" y="1581150"/>
              <a:ext cx="7267575" cy="4953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657226</xdr:colOff>
      <xdr:row>4</xdr:row>
      <xdr:rowOff>57150</xdr:rowOff>
    </xdr:from>
    <xdr:to>
      <xdr:col>9</xdr:col>
      <xdr:colOff>457200</xdr:colOff>
      <xdr:row>6</xdr:row>
      <xdr:rowOff>123825</xdr:rowOff>
    </xdr:to>
    <mc:AlternateContent xmlns:mc="http://schemas.openxmlformats.org/markup-compatibility/2006" xmlns:a14="http://schemas.microsoft.com/office/drawing/2010/main">
      <mc:Choice Requires="a14">
        <xdr:graphicFrame macro="">
          <xdr:nvGraphicFramePr>
            <xdr:cNvPr id="2" name="FisYr 9"/>
            <xdr:cNvGraphicFramePr/>
          </xdr:nvGraphicFramePr>
          <xdr:xfrm>
            <a:off x="0" y="0"/>
            <a:ext cx="0" cy="0"/>
          </xdr:xfrm>
          <a:graphic>
            <a:graphicData uri="http://schemas.microsoft.com/office/drawing/2010/slicer">
              <sle:slicer xmlns:sle="http://schemas.microsoft.com/office/drawing/2010/slicer" name="FisYr 9"/>
            </a:graphicData>
          </a:graphic>
        </xdr:graphicFrame>
      </mc:Choice>
      <mc:Fallback xmlns="">
        <xdr:sp macro="" textlink="">
          <xdr:nvSpPr>
            <xdr:cNvPr id="0" name=""/>
            <xdr:cNvSpPr>
              <a:spLocks noTextEdit="1"/>
            </xdr:cNvSpPr>
          </xdr:nvSpPr>
          <xdr:spPr>
            <a:xfrm>
              <a:off x="3000376" y="838200"/>
              <a:ext cx="5029199" cy="4476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11</xdr:col>
      <xdr:colOff>245110</xdr:colOff>
      <xdr:row>30</xdr:row>
      <xdr:rowOff>12700</xdr:rowOff>
    </xdr:to>
    <xdr:pic>
      <xdr:nvPicPr>
        <xdr:cNvPr id="5" name="Picture 4" descr="C:\Users\gregor.welsh\StationFootprint\Rplot166.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1171575"/>
          <a:ext cx="5731510" cy="4584700"/>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11</xdr:col>
      <xdr:colOff>245110</xdr:colOff>
      <xdr:row>30</xdr:row>
      <xdr:rowOff>12700</xdr:rowOff>
    </xdr:to>
    <xdr:pic>
      <xdr:nvPicPr>
        <xdr:cNvPr id="4" name="Picture 3" descr="C:\Users\gregor.welsh\StationFootprint\Rplot16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1171575"/>
          <a:ext cx="5731510" cy="4584700"/>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9</xdr:col>
      <xdr:colOff>540385</xdr:colOff>
      <xdr:row>24</xdr:row>
      <xdr:rowOff>90170</xdr:rowOff>
    </xdr:to>
    <xdr:pic>
      <xdr:nvPicPr>
        <xdr:cNvPr id="4" name="Picture 3" descr="C:\Users\gregor.welsh\StationFootprint\Rplot108.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1171575"/>
          <a:ext cx="4807585" cy="3519170"/>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11</xdr:col>
      <xdr:colOff>235585</xdr:colOff>
      <xdr:row>28</xdr:row>
      <xdr:rowOff>90170</xdr:rowOff>
    </xdr:to>
    <xdr:pic>
      <xdr:nvPicPr>
        <xdr:cNvPr id="3" name="Picture 2" descr="C:\Users\gregor.welsh\StationFootprint\Rplot112.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1171575"/>
          <a:ext cx="5721985" cy="4281170"/>
        </a:xfrm>
        <a:prstGeom prst="rect">
          <a:avLst/>
        </a:prstGeom>
        <a:noFill/>
        <a:ln>
          <a:no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7</xdr:colOff>
      <xdr:row>6</xdr:row>
      <xdr:rowOff>0</xdr:rowOff>
    </xdr:from>
    <xdr:to>
      <xdr:col>11</xdr:col>
      <xdr:colOff>394097</xdr:colOff>
      <xdr:row>32</xdr:row>
      <xdr:rowOff>87000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7" y="1171575"/>
          <a:ext cx="5880490" cy="50400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6</xdr:col>
      <xdr:colOff>466725</xdr:colOff>
      <xdr:row>2</xdr:row>
      <xdr:rowOff>47625</xdr:rowOff>
    </xdr:from>
    <xdr:to>
      <xdr:col>12</xdr:col>
      <xdr:colOff>285750</xdr:colOff>
      <xdr:row>4</xdr:row>
      <xdr:rowOff>161924</xdr:rowOff>
    </xdr:to>
    <mc:AlternateContent xmlns:mc="http://schemas.openxmlformats.org/markup-compatibility/2006" xmlns:a14="http://schemas.microsoft.com/office/drawing/2010/main">
      <mc:Choice Requires="a14">
        <xdr:graphicFrame macro="">
          <xdr:nvGraphicFramePr>
            <xdr:cNvPr id="4" name="FisYr 11"/>
            <xdr:cNvGraphicFramePr/>
          </xdr:nvGraphicFramePr>
          <xdr:xfrm>
            <a:off x="0" y="0"/>
            <a:ext cx="0" cy="0"/>
          </xdr:xfrm>
          <a:graphic>
            <a:graphicData uri="http://schemas.microsoft.com/office/drawing/2010/slicer">
              <sle:slicer xmlns:sle="http://schemas.microsoft.com/office/drawing/2010/slicer" name="FisYr 11"/>
            </a:graphicData>
          </a:graphic>
        </xdr:graphicFrame>
      </mc:Choice>
      <mc:Fallback xmlns="">
        <xdr:sp macro="" textlink="">
          <xdr:nvSpPr>
            <xdr:cNvPr id="0" name=""/>
            <xdr:cNvSpPr>
              <a:spLocks noTextEdit="1"/>
            </xdr:cNvSpPr>
          </xdr:nvSpPr>
          <xdr:spPr>
            <a:xfrm>
              <a:off x="5200650" y="438150"/>
              <a:ext cx="3667125" cy="5048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38100</xdr:colOff>
      <xdr:row>0</xdr:row>
      <xdr:rowOff>28576</xdr:rowOff>
    </xdr:from>
    <xdr:to>
      <xdr:col>6</xdr:col>
      <xdr:colOff>819150</xdr:colOff>
      <xdr:row>2</xdr:row>
      <xdr:rowOff>152400</xdr:rowOff>
    </xdr:to>
    <mc:AlternateContent xmlns:mc="http://schemas.openxmlformats.org/markup-compatibility/2006" xmlns:a14="http://schemas.microsoft.com/office/drawing/2010/main">
      <mc:Choice Requires="a14">
        <xdr:graphicFrame macro="">
          <xdr:nvGraphicFramePr>
            <xdr:cNvPr id="2" name="FisYr"/>
            <xdr:cNvGraphicFramePr/>
          </xdr:nvGraphicFramePr>
          <xdr:xfrm>
            <a:off x="0" y="0"/>
            <a:ext cx="0" cy="0"/>
          </xdr:xfrm>
          <a:graphic>
            <a:graphicData uri="http://schemas.microsoft.com/office/drawing/2010/slicer">
              <sle:slicer xmlns:sle="http://schemas.microsoft.com/office/drawing/2010/slicer" name="FisYr"/>
            </a:graphicData>
          </a:graphic>
        </xdr:graphicFrame>
      </mc:Choice>
      <mc:Fallback xmlns="">
        <xdr:sp macro="" textlink="">
          <xdr:nvSpPr>
            <xdr:cNvPr id="0" name=""/>
            <xdr:cNvSpPr>
              <a:spLocks noTextEdit="1"/>
            </xdr:cNvSpPr>
          </xdr:nvSpPr>
          <xdr:spPr>
            <a:xfrm>
              <a:off x="3000375" y="28576"/>
              <a:ext cx="4486275" cy="5048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9.xml><?xml version="1.0" encoding="utf-8"?>
<xdr:wsDr xmlns:xdr="http://schemas.openxmlformats.org/drawingml/2006/spreadsheetDrawing" xmlns:a="http://schemas.openxmlformats.org/drawingml/2006/main">
  <xdr:twoCellAnchor editAs="oneCell">
    <xdr:from>
      <xdr:col>6</xdr:col>
      <xdr:colOff>361950</xdr:colOff>
      <xdr:row>26</xdr:row>
      <xdr:rowOff>171450</xdr:rowOff>
    </xdr:from>
    <xdr:to>
      <xdr:col>12</xdr:col>
      <xdr:colOff>104775</xdr:colOff>
      <xdr:row>29</xdr:row>
      <xdr:rowOff>47625</xdr:rowOff>
    </xdr:to>
    <mc:AlternateContent xmlns:mc="http://schemas.openxmlformats.org/markup-compatibility/2006" xmlns:a14="http://schemas.microsoft.com/office/drawing/2010/main">
      <mc:Choice Requires="a14">
        <xdr:graphicFrame macro="">
          <xdr:nvGraphicFramePr>
            <xdr:cNvPr id="3" name="FisYr 15"/>
            <xdr:cNvGraphicFramePr/>
          </xdr:nvGraphicFramePr>
          <xdr:xfrm>
            <a:off x="0" y="0"/>
            <a:ext cx="0" cy="0"/>
          </xdr:xfrm>
          <a:graphic>
            <a:graphicData uri="http://schemas.microsoft.com/office/drawing/2010/slicer">
              <sle:slicer xmlns:sle="http://schemas.microsoft.com/office/drawing/2010/slicer" name="FisYr 15"/>
            </a:graphicData>
          </a:graphic>
        </xdr:graphicFrame>
      </mc:Choice>
      <mc:Fallback xmlns="">
        <xdr:sp macro="" textlink="">
          <xdr:nvSpPr>
            <xdr:cNvPr id="0" name=""/>
            <xdr:cNvSpPr>
              <a:spLocks noTextEdit="1"/>
            </xdr:cNvSpPr>
          </xdr:nvSpPr>
          <xdr:spPr>
            <a:xfrm>
              <a:off x="5610225" y="5857875"/>
              <a:ext cx="3781425" cy="4667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295275</xdr:colOff>
      <xdr:row>3</xdr:row>
      <xdr:rowOff>9525</xdr:rowOff>
    </xdr:from>
    <xdr:to>
      <xdr:col>10</xdr:col>
      <xdr:colOff>790575</xdr:colOff>
      <xdr:row>3</xdr:row>
      <xdr:rowOff>466724</xdr:rowOff>
    </xdr:to>
    <mc:AlternateContent xmlns:mc="http://schemas.openxmlformats.org/markup-compatibility/2006" xmlns:a14="http://schemas.microsoft.com/office/drawing/2010/main">
      <mc:Choice Requires="a14">
        <xdr:graphicFrame macro="">
          <xdr:nvGraphicFramePr>
            <xdr:cNvPr id="6" name="Year 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4514850" y="666750"/>
              <a:ext cx="4638675" cy="4571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0.xml><?xml version="1.0" encoding="utf-8"?>
<xdr:wsDr xmlns:xdr="http://schemas.openxmlformats.org/drawingml/2006/spreadsheetDrawing" xmlns:a="http://schemas.openxmlformats.org/drawingml/2006/main">
  <xdr:twoCellAnchor editAs="oneCell">
    <xdr:from>
      <xdr:col>6</xdr:col>
      <xdr:colOff>57150</xdr:colOff>
      <xdr:row>9</xdr:row>
      <xdr:rowOff>57150</xdr:rowOff>
    </xdr:from>
    <xdr:to>
      <xdr:col>8</xdr:col>
      <xdr:colOff>581025</xdr:colOff>
      <xdr:row>11</xdr:row>
      <xdr:rowOff>142875</xdr:rowOff>
    </xdr:to>
    <mc:AlternateContent xmlns:mc="http://schemas.openxmlformats.org/markup-compatibility/2006" xmlns:a14="http://schemas.microsoft.com/office/drawing/2010/main">
      <mc:Choice Requires="a14">
        <xdr:graphicFrame macro="">
          <xdr:nvGraphicFramePr>
            <xdr:cNvPr id="2" name="FisYr 14"/>
            <xdr:cNvGraphicFramePr/>
          </xdr:nvGraphicFramePr>
          <xdr:xfrm>
            <a:off x="0" y="0"/>
            <a:ext cx="0" cy="0"/>
          </xdr:xfrm>
          <a:graphic>
            <a:graphicData uri="http://schemas.microsoft.com/office/drawing/2010/slicer">
              <sle:slicer xmlns:sle="http://schemas.microsoft.com/office/drawing/2010/slicer" name="FisYr 14"/>
            </a:graphicData>
          </a:graphic>
        </xdr:graphicFrame>
      </mc:Choice>
      <mc:Fallback xmlns="">
        <xdr:sp macro="" textlink="">
          <xdr:nvSpPr>
            <xdr:cNvPr id="0" name=""/>
            <xdr:cNvSpPr>
              <a:spLocks noTextEdit="1"/>
            </xdr:cNvSpPr>
          </xdr:nvSpPr>
          <xdr:spPr>
            <a:xfrm>
              <a:off x="6457950" y="1771650"/>
              <a:ext cx="3781425" cy="4667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523875</xdr:colOff>
      <xdr:row>4</xdr:row>
      <xdr:rowOff>104775</xdr:rowOff>
    </xdr:from>
    <xdr:to>
      <xdr:col>7</xdr:col>
      <xdr:colOff>542925</xdr:colOff>
      <xdr:row>6</xdr:row>
      <xdr:rowOff>123825</xdr:rowOff>
    </xdr:to>
    <mc:AlternateContent xmlns:mc="http://schemas.openxmlformats.org/markup-compatibility/2006" xmlns:a14="http://schemas.microsoft.com/office/drawing/2010/main">
      <mc:Choice Requires="a14">
        <xdr:graphicFrame macro="">
          <xdr:nvGraphicFramePr>
            <xdr:cNvPr id="4" name="FisYr 19"/>
            <xdr:cNvGraphicFramePr/>
          </xdr:nvGraphicFramePr>
          <xdr:xfrm>
            <a:off x="0" y="0"/>
            <a:ext cx="0" cy="0"/>
          </xdr:xfrm>
          <a:graphic>
            <a:graphicData uri="http://schemas.microsoft.com/office/drawing/2010/slicer">
              <sle:slicer xmlns:sle="http://schemas.microsoft.com/office/drawing/2010/slicer" name="FisYr 19"/>
            </a:graphicData>
          </a:graphic>
        </xdr:graphicFrame>
      </mc:Choice>
      <mc:Fallback xmlns="">
        <xdr:sp macro="" textlink="">
          <xdr:nvSpPr>
            <xdr:cNvPr id="0" name=""/>
            <xdr:cNvSpPr>
              <a:spLocks noTextEdit="1"/>
            </xdr:cNvSpPr>
          </xdr:nvSpPr>
          <xdr:spPr>
            <a:xfrm>
              <a:off x="3181350" y="885825"/>
              <a:ext cx="3705225" cy="476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2.xml><?xml version="1.0" encoding="utf-8"?>
<xdr:wsDr xmlns:xdr="http://schemas.openxmlformats.org/drawingml/2006/spreadsheetDrawing" xmlns:a="http://schemas.openxmlformats.org/drawingml/2006/main">
  <xdr:twoCellAnchor editAs="oneCell">
    <xdr:from>
      <xdr:col>5</xdr:col>
      <xdr:colOff>457199</xdr:colOff>
      <xdr:row>12</xdr:row>
      <xdr:rowOff>66676</xdr:rowOff>
    </xdr:from>
    <xdr:to>
      <xdr:col>7</xdr:col>
      <xdr:colOff>809624</xdr:colOff>
      <xdr:row>14</xdr:row>
      <xdr:rowOff>161926</xdr:rowOff>
    </xdr:to>
    <mc:AlternateContent xmlns:mc="http://schemas.openxmlformats.org/markup-compatibility/2006" xmlns:a14="http://schemas.microsoft.com/office/drawing/2010/main">
      <mc:Choice Requires="a14">
        <xdr:graphicFrame macro="">
          <xdr:nvGraphicFramePr>
            <xdr:cNvPr id="2" name="FisYr 18"/>
            <xdr:cNvGraphicFramePr/>
          </xdr:nvGraphicFramePr>
          <xdr:xfrm>
            <a:off x="0" y="0"/>
            <a:ext cx="0" cy="0"/>
          </xdr:xfrm>
          <a:graphic>
            <a:graphicData uri="http://schemas.microsoft.com/office/drawing/2010/slicer">
              <sle:slicer xmlns:sle="http://schemas.microsoft.com/office/drawing/2010/slicer" name="FisYr 18"/>
            </a:graphicData>
          </a:graphic>
        </xdr:graphicFrame>
      </mc:Choice>
      <mc:Fallback xmlns="">
        <xdr:sp macro="" textlink="">
          <xdr:nvSpPr>
            <xdr:cNvPr id="0" name=""/>
            <xdr:cNvSpPr>
              <a:spLocks noTextEdit="1"/>
            </xdr:cNvSpPr>
          </xdr:nvSpPr>
          <xdr:spPr>
            <a:xfrm>
              <a:off x="5800724" y="2352676"/>
              <a:ext cx="3705225" cy="476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66675</xdr:colOff>
      <xdr:row>2</xdr:row>
      <xdr:rowOff>161925</xdr:rowOff>
    </xdr:from>
    <xdr:to>
      <xdr:col>6</xdr:col>
      <xdr:colOff>371475</xdr:colOff>
      <xdr:row>5</xdr:row>
      <xdr:rowOff>19050</xdr:rowOff>
    </xdr:to>
    <mc:AlternateContent xmlns:mc="http://schemas.openxmlformats.org/markup-compatibility/2006" xmlns:a14="http://schemas.microsoft.com/office/drawing/2010/main">
      <mc:Choice Requires="a14">
        <xdr:graphicFrame macro="">
          <xdr:nvGraphicFramePr>
            <xdr:cNvPr id="2" name="FisYr 13"/>
            <xdr:cNvGraphicFramePr/>
          </xdr:nvGraphicFramePr>
          <xdr:xfrm>
            <a:off x="0" y="0"/>
            <a:ext cx="0" cy="0"/>
          </xdr:xfrm>
          <a:graphic>
            <a:graphicData uri="http://schemas.microsoft.com/office/drawing/2010/slicer">
              <sle:slicer xmlns:sle="http://schemas.microsoft.com/office/drawing/2010/slicer" name="FisYr 13"/>
            </a:graphicData>
          </a:graphic>
        </xdr:graphicFrame>
      </mc:Choice>
      <mc:Fallback xmlns="">
        <xdr:sp macro="" textlink="">
          <xdr:nvSpPr>
            <xdr:cNvPr id="0" name=""/>
            <xdr:cNvSpPr>
              <a:spLocks noTextEdit="1"/>
            </xdr:cNvSpPr>
          </xdr:nvSpPr>
          <xdr:spPr>
            <a:xfrm>
              <a:off x="2990850" y="552450"/>
              <a:ext cx="3810000"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38100</xdr:colOff>
      <xdr:row>0</xdr:row>
      <xdr:rowOff>0</xdr:rowOff>
    </xdr:from>
    <xdr:to>
      <xdr:col>7</xdr:col>
      <xdr:colOff>590550</xdr:colOff>
      <xdr:row>2</xdr:row>
      <xdr:rowOff>57150</xdr:rowOff>
    </xdr:to>
    <mc:AlternateContent xmlns:mc="http://schemas.openxmlformats.org/markup-compatibility/2006" xmlns:a14="http://schemas.microsoft.com/office/drawing/2010/main">
      <mc:Choice Requires="a14">
        <xdr:graphicFrame macro="">
          <xdr:nvGraphicFramePr>
            <xdr:cNvPr id="2" name="FisYr 12"/>
            <xdr:cNvGraphicFramePr/>
          </xdr:nvGraphicFramePr>
          <xdr:xfrm>
            <a:off x="0" y="0"/>
            <a:ext cx="0" cy="0"/>
          </xdr:xfrm>
          <a:graphic>
            <a:graphicData uri="http://schemas.microsoft.com/office/drawing/2010/slicer">
              <sle:slicer xmlns:sle="http://schemas.microsoft.com/office/drawing/2010/slicer" name="FisYr 12"/>
            </a:graphicData>
          </a:graphic>
        </xdr:graphicFrame>
      </mc:Choice>
      <mc:Fallback xmlns="">
        <xdr:sp macro="" textlink="">
          <xdr:nvSpPr>
            <xdr:cNvPr id="0" name=""/>
            <xdr:cNvSpPr>
              <a:spLocks noTextEdit="1"/>
            </xdr:cNvSpPr>
          </xdr:nvSpPr>
          <xdr:spPr>
            <a:xfrm>
              <a:off x="1581150" y="0"/>
              <a:ext cx="3810000"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11</xdr:col>
      <xdr:colOff>245110</xdr:colOff>
      <xdr:row>30</xdr:row>
      <xdr:rowOff>12700</xdr:rowOff>
    </xdr:to>
    <xdr:pic>
      <xdr:nvPicPr>
        <xdr:cNvPr id="3" name="Picture 2" descr="C:\Users\gregor.welsh\StationFootprint\Rplot176.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1171575"/>
          <a:ext cx="5731510" cy="4584700"/>
        </a:xfrm>
        <a:prstGeom prst="rect">
          <a:avLst/>
        </a:prstGeom>
        <a:noFill/>
        <a:ln>
          <a:noFill/>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11</xdr:col>
      <xdr:colOff>245110</xdr:colOff>
      <xdr:row>30</xdr:row>
      <xdr:rowOff>12700</xdr:rowOff>
    </xdr:to>
    <xdr:pic>
      <xdr:nvPicPr>
        <xdr:cNvPr id="3" name="Picture 2" descr="C:\Users\gregor.welsh\StationFootprint\Rplot148.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1171575"/>
          <a:ext cx="5731510" cy="45847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2533650</xdr:colOff>
      <xdr:row>2</xdr:row>
      <xdr:rowOff>209550</xdr:rowOff>
    </xdr:from>
    <xdr:to>
      <xdr:col>4</xdr:col>
      <xdr:colOff>304800</xdr:colOff>
      <xdr:row>4</xdr:row>
      <xdr:rowOff>9525</xdr:rowOff>
    </xdr:to>
    <mc:AlternateContent xmlns:mc="http://schemas.openxmlformats.org/markup-compatibility/2006" xmlns:a14="http://schemas.microsoft.com/office/drawing/2010/main">
      <mc:Choice Requires="a14">
        <xdr:graphicFrame macro="">
          <xdr:nvGraphicFramePr>
            <xdr:cNvPr id="2" name="Year3 1"/>
            <xdr:cNvGraphicFramePr/>
          </xdr:nvGraphicFramePr>
          <xdr:xfrm>
            <a:off x="0" y="0"/>
            <a:ext cx="0" cy="0"/>
          </xdr:xfrm>
          <a:graphic>
            <a:graphicData uri="http://schemas.microsoft.com/office/drawing/2010/slicer">
              <sle:slicer xmlns:sle="http://schemas.microsoft.com/office/drawing/2010/slicer" name="Year3 1"/>
            </a:graphicData>
          </a:graphic>
        </xdr:graphicFrame>
      </mc:Choice>
      <mc:Fallback xmlns="">
        <xdr:sp macro="" textlink="">
          <xdr:nvSpPr>
            <xdr:cNvPr id="0" name=""/>
            <xdr:cNvSpPr>
              <a:spLocks noTextEdit="1"/>
            </xdr:cNvSpPr>
          </xdr:nvSpPr>
          <xdr:spPr>
            <a:xfrm>
              <a:off x="3676650" y="638175"/>
              <a:ext cx="4886325" cy="4095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8.xml><?xml version="1.0" encoding="utf-8"?>
<xdr:wsDr xmlns:xdr="http://schemas.openxmlformats.org/drawingml/2006/spreadsheetDrawing" xmlns:a="http://schemas.openxmlformats.org/drawingml/2006/main">
  <xdr:oneCellAnchor>
    <xdr:from>
      <xdr:col>0</xdr:col>
      <xdr:colOff>2047875</xdr:colOff>
      <xdr:row>2</xdr:row>
      <xdr:rowOff>114300</xdr:rowOff>
    </xdr:from>
    <xdr:ext cx="5086350" cy="419100"/>
    <mc:AlternateContent xmlns:mc="http://schemas.openxmlformats.org/markup-compatibility/2006" xmlns:a14="http://schemas.microsoft.com/office/drawing/2010/main">
      <mc:Choice Requires="a14">
        <xdr:graphicFrame macro="">
          <xdr:nvGraphicFramePr>
            <xdr:cNvPr id="2" name="FinYear 1"/>
            <xdr:cNvGraphicFramePr/>
          </xdr:nvGraphicFramePr>
          <xdr:xfrm>
            <a:off x="0" y="0"/>
            <a:ext cx="0" cy="0"/>
          </xdr:xfrm>
          <a:graphic>
            <a:graphicData uri="http://schemas.microsoft.com/office/drawing/2010/slicer">
              <sle:slicer xmlns:sle="http://schemas.microsoft.com/office/drawing/2010/slicer" name="FinYear 1"/>
            </a:graphicData>
          </a:graphic>
        </xdr:graphicFrame>
      </mc:Choice>
      <mc:Fallback xmlns="">
        <xdr:sp macro="" textlink="">
          <xdr:nvSpPr>
            <xdr:cNvPr id="0" name=""/>
            <xdr:cNvSpPr>
              <a:spLocks noTextEdit="1"/>
            </xdr:cNvSpPr>
          </xdr:nvSpPr>
          <xdr:spPr>
            <a:xfrm>
              <a:off x="2047875" y="542925"/>
              <a:ext cx="5086350"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oneCellAnchor>
    <xdr:from>
      <xdr:col>7</xdr:col>
      <xdr:colOff>361950</xdr:colOff>
      <xdr:row>2</xdr:row>
      <xdr:rowOff>219075</xdr:rowOff>
    </xdr:from>
    <xdr:ext cx="4733925" cy="447675"/>
    <mc:AlternateContent xmlns:mc="http://schemas.openxmlformats.org/markup-compatibility/2006" xmlns:a14="http://schemas.microsoft.com/office/drawing/2010/main">
      <mc:Choice Requires="a14">
        <xdr:graphicFrame macro="">
          <xdr:nvGraphicFramePr>
            <xdr:cNvPr id="3" name="Year2 1"/>
            <xdr:cNvGraphicFramePr/>
          </xdr:nvGraphicFramePr>
          <xdr:xfrm>
            <a:off x="0" y="0"/>
            <a:ext cx="0" cy="0"/>
          </xdr:xfrm>
          <a:graphic>
            <a:graphicData uri="http://schemas.microsoft.com/office/drawing/2010/slicer">
              <sle:slicer xmlns:sle="http://schemas.microsoft.com/office/drawing/2010/slicer" name="Year2 1"/>
            </a:graphicData>
          </a:graphic>
        </xdr:graphicFrame>
      </mc:Choice>
      <mc:Fallback xmlns="">
        <xdr:sp macro="" textlink="">
          <xdr:nvSpPr>
            <xdr:cNvPr id="0" name=""/>
            <xdr:cNvSpPr>
              <a:spLocks noTextEdit="1"/>
            </xdr:cNvSpPr>
          </xdr:nvSpPr>
          <xdr:spPr>
            <a:xfrm>
              <a:off x="6486525" y="647700"/>
              <a:ext cx="4733925" cy="4476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rescotland.local\dfs\Users\gregor.welsh\Downloads\fire_safety_and_organisational_statistics_tables_2016_17%2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rescotland.local\dfs\Revised%20Tables%20and%20Charts\Fire%20Safety%20and%20Organisational%20Statistics%20Tables%202016-17%20NOT%20PROTEC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cal Year - Set as Hidden"/>
      <sheetName val="Information"/>
      <sheetName val="Contents"/>
      <sheetName val="Notes - workforce"/>
      <sheetName val="Table 1a and 1b"/>
      <sheetName val="Table 2, 2a and 2b"/>
      <sheetName val="Table 3"/>
      <sheetName val="Table 4"/>
      <sheetName val="Table 4b"/>
      <sheetName val="Tables 4c and 4d"/>
      <sheetName val="Table 4e"/>
      <sheetName val="Table 5a"/>
      <sheetName val="Table 5b"/>
      <sheetName val="Tables 5c and 5d"/>
      <sheetName val="Table 6"/>
      <sheetName val="Table 7"/>
      <sheetName val="Table 8"/>
      <sheetName val="Table 10 and 10a"/>
      <sheetName val="Table 11"/>
      <sheetName val="Table 12 and 12a"/>
      <sheetName val="Table 13"/>
      <sheetName val="Tables 13a"/>
      <sheetName val="Table 14"/>
      <sheetName val="Table 14a"/>
      <sheetName val="Tables 15, 15a and 15b"/>
      <sheetName val="Table 16"/>
      <sheetName val="Tables 17, 17a and 17b"/>
      <sheetName val="Table 18 and 18a"/>
      <sheetName val="Tables 19"/>
      <sheetName val="Table 19a"/>
      <sheetName val="Table 19b"/>
      <sheetName val="Table 20"/>
      <sheetName val="Table 20a"/>
      <sheetName val="Table 21 and 21a"/>
      <sheetName val="Table 22"/>
      <sheetName val="Table 23"/>
      <sheetName val="Table 23a and 23b"/>
      <sheetName val="Table 24"/>
      <sheetName val="Chart 1"/>
      <sheetName val="Chart 2"/>
      <sheetName val="Chart 3"/>
      <sheetName val="Chart 4"/>
      <sheetName val="Chart 4a"/>
      <sheetName val="Chart 4b"/>
      <sheetName val="Chart 4c"/>
      <sheetName val="Chart 4d"/>
      <sheetName val="Chart 5"/>
      <sheetName val="Chart 6"/>
      <sheetName val="Chart 7"/>
      <sheetName val="Chart 8"/>
      <sheetName val="Chart 9"/>
      <sheetName val="Chart 10"/>
      <sheetName val="Chart 11"/>
      <sheetName val="Chart 12"/>
      <sheetName val="Chart 13"/>
    </sheetNames>
    <sheetDataSet>
      <sheetData sheetId="0" refreshError="1">
        <row r="5">
          <cell r="D5" t="str">
            <v>2016-17</v>
          </cell>
        </row>
      </sheetData>
      <sheetData sheetId="1" refreshError="1"/>
      <sheetData sheetId="2" refreshError="1"/>
      <sheetData sheetId="3" refreshError="1"/>
      <sheetData sheetId="4" refreshError="1">
        <row r="10">
          <cell r="B10">
            <v>3645</v>
          </cell>
          <cell r="C10">
            <v>2870</v>
          </cell>
          <cell r="D10">
            <v>165</v>
          </cell>
          <cell r="E10">
            <v>838</v>
          </cell>
          <cell r="F10">
            <v>316</v>
          </cell>
          <cell r="H10">
            <v>7834</v>
          </cell>
          <cell r="J10">
            <v>7518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cal Year - Set as Hidden"/>
      <sheetName val="Information"/>
      <sheetName val="Contents"/>
      <sheetName val="Notes - workforce"/>
      <sheetName val="Table 1a and 1b"/>
      <sheetName val="Table 2, 2a and 2b"/>
      <sheetName val="Table 3"/>
      <sheetName val="Table 4"/>
      <sheetName val="Table 4b"/>
      <sheetName val="Tables 4c and 4d"/>
      <sheetName val="Table 4e"/>
      <sheetName val="Table 5a"/>
      <sheetName val="Table 5b"/>
      <sheetName val="Tables 5c and 5d"/>
      <sheetName val="Table 6"/>
      <sheetName val="Table 7"/>
      <sheetName val="Table 8"/>
      <sheetName val="Table 10 and 10a"/>
      <sheetName val="Table 11"/>
      <sheetName val="Table 12 and 12a"/>
      <sheetName val="Table 13"/>
      <sheetName val="Tables 13a"/>
      <sheetName val="Table 14"/>
      <sheetName val="Table 14a"/>
      <sheetName val="Tables 15, 15a and 15b"/>
      <sheetName val="Table 16"/>
      <sheetName val="Tables 17, 17a and 17b"/>
      <sheetName val="Table 18 and 18a"/>
      <sheetName val="Tables 19"/>
      <sheetName val="Table 19a"/>
      <sheetName val="Table 19b"/>
      <sheetName val="Table 20"/>
      <sheetName val="Table 20a"/>
      <sheetName val="Table 21 and 21a"/>
      <sheetName val="Table 22"/>
      <sheetName val="Table 23"/>
      <sheetName val="Table 23a and 23b"/>
      <sheetName val="Table 24"/>
      <sheetName val="Chart 1"/>
      <sheetName val="Chart 2"/>
      <sheetName val="Chart 3"/>
      <sheetName val="Chart 4"/>
      <sheetName val="Chart 4a"/>
      <sheetName val="Chart 4b"/>
      <sheetName val="Chart 4c"/>
      <sheetName val="Chart 4d"/>
      <sheetName val="Chart 5"/>
      <sheetName val="Chart 6"/>
      <sheetName val="Chart 7"/>
      <sheetName val="Chart 8"/>
      <sheetName val="Chart 9"/>
      <sheetName val="Chart 10"/>
      <sheetName val="Chart 11"/>
      <sheetName val="Chart 12"/>
      <sheetName val="Chart 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5">
          <cell r="C5">
            <v>3</v>
          </cell>
          <cell r="D5">
            <v>7</v>
          </cell>
        </row>
        <row r="6">
          <cell r="C6">
            <v>1</v>
          </cell>
          <cell r="D6">
            <v>18</v>
          </cell>
        </row>
        <row r="7">
          <cell r="C7">
            <v>1</v>
          </cell>
          <cell r="D7">
            <v>19</v>
          </cell>
        </row>
        <row r="8">
          <cell r="C8">
            <v>2</v>
          </cell>
          <cell r="D8">
            <v>12</v>
          </cell>
        </row>
        <row r="9">
          <cell r="C9">
            <v>1</v>
          </cell>
          <cell r="D9">
            <v>20</v>
          </cell>
        </row>
        <row r="10">
          <cell r="C10">
            <v>1</v>
          </cell>
          <cell r="D10">
            <v>21</v>
          </cell>
        </row>
        <row r="11">
          <cell r="C11">
            <v>4</v>
          </cell>
          <cell r="D11">
            <v>4</v>
          </cell>
        </row>
        <row r="12">
          <cell r="C12">
            <v>1</v>
          </cell>
          <cell r="D12">
            <v>22</v>
          </cell>
        </row>
        <row r="13">
          <cell r="C13">
            <v>3</v>
          </cell>
          <cell r="D13">
            <v>8</v>
          </cell>
        </row>
        <row r="14">
          <cell r="C14">
            <v>1</v>
          </cell>
          <cell r="D14">
            <v>23</v>
          </cell>
        </row>
        <row r="15">
          <cell r="C15">
            <v>2</v>
          </cell>
          <cell r="D15">
            <v>13</v>
          </cell>
        </row>
        <row r="16">
          <cell r="C16">
            <v>7</v>
          </cell>
          <cell r="D16">
            <v>2</v>
          </cell>
        </row>
        <row r="17">
          <cell r="C17">
            <v>3</v>
          </cell>
          <cell r="D17">
            <v>9</v>
          </cell>
        </row>
        <row r="18">
          <cell r="C18">
            <v>5</v>
          </cell>
          <cell r="D18">
            <v>3</v>
          </cell>
        </row>
        <row r="19">
          <cell r="C19">
            <v>11</v>
          </cell>
          <cell r="D19">
            <v>1</v>
          </cell>
        </row>
        <row r="20">
          <cell r="C20">
            <v>1</v>
          </cell>
          <cell r="D20">
            <v>24</v>
          </cell>
        </row>
        <row r="21">
          <cell r="C21">
            <v>2</v>
          </cell>
          <cell r="D21">
            <v>14</v>
          </cell>
        </row>
        <row r="22">
          <cell r="C22">
            <v>1</v>
          </cell>
          <cell r="D22">
            <v>25</v>
          </cell>
        </row>
        <row r="23">
          <cell r="C23">
            <v>1</v>
          </cell>
          <cell r="D23">
            <v>26</v>
          </cell>
        </row>
        <row r="24">
          <cell r="C24">
            <v>0</v>
          </cell>
          <cell r="D24">
            <v>30</v>
          </cell>
        </row>
        <row r="25">
          <cell r="C25">
            <v>3</v>
          </cell>
          <cell r="D25">
            <v>10</v>
          </cell>
        </row>
        <row r="26">
          <cell r="C26">
            <v>4</v>
          </cell>
          <cell r="D26">
            <v>5</v>
          </cell>
        </row>
        <row r="27">
          <cell r="C27">
            <v>0</v>
          </cell>
          <cell r="D27">
            <v>31</v>
          </cell>
        </row>
        <row r="28">
          <cell r="C28">
            <v>1</v>
          </cell>
          <cell r="D28">
            <v>27</v>
          </cell>
        </row>
        <row r="29">
          <cell r="C29">
            <v>3</v>
          </cell>
          <cell r="D29">
            <v>11</v>
          </cell>
        </row>
        <row r="30">
          <cell r="C30">
            <v>2</v>
          </cell>
          <cell r="D30">
            <v>15</v>
          </cell>
        </row>
        <row r="31">
          <cell r="C31">
            <v>0</v>
          </cell>
          <cell r="D31">
            <v>32</v>
          </cell>
        </row>
        <row r="32">
          <cell r="C32">
            <v>1</v>
          </cell>
          <cell r="D32">
            <v>28</v>
          </cell>
        </row>
        <row r="33">
          <cell r="C33">
            <v>4</v>
          </cell>
          <cell r="D33">
            <v>6</v>
          </cell>
        </row>
        <row r="34">
          <cell r="C34">
            <v>1</v>
          </cell>
          <cell r="D34">
            <v>29</v>
          </cell>
        </row>
        <row r="35">
          <cell r="C35">
            <v>2</v>
          </cell>
          <cell r="D35">
            <v>16</v>
          </cell>
        </row>
        <row r="36">
          <cell r="C36">
            <v>2</v>
          </cell>
          <cell r="D36">
            <v>17</v>
          </cell>
        </row>
      </sheetData>
      <sheetData sheetId="43">
        <row r="5">
          <cell r="C5">
            <v>1</v>
          </cell>
          <cell r="D5">
            <v>22</v>
          </cell>
        </row>
        <row r="6">
          <cell r="C6">
            <v>23</v>
          </cell>
          <cell r="D6">
            <v>2</v>
          </cell>
        </row>
        <row r="7">
          <cell r="C7">
            <v>5</v>
          </cell>
          <cell r="D7">
            <v>16</v>
          </cell>
        </row>
        <row r="8">
          <cell r="C8">
            <v>12</v>
          </cell>
          <cell r="D8">
            <v>6</v>
          </cell>
        </row>
        <row r="9">
          <cell r="C9">
            <v>1</v>
          </cell>
          <cell r="D9">
            <v>23</v>
          </cell>
        </row>
        <row r="10">
          <cell r="C10">
            <v>15</v>
          </cell>
          <cell r="D10">
            <v>3</v>
          </cell>
        </row>
        <row r="11">
          <cell r="C11">
            <v>0</v>
          </cell>
          <cell r="D11">
            <v>28</v>
          </cell>
        </row>
        <row r="12">
          <cell r="C12">
            <v>7</v>
          </cell>
          <cell r="D12">
            <v>14</v>
          </cell>
        </row>
        <row r="13">
          <cell r="C13">
            <v>0</v>
          </cell>
          <cell r="D13">
            <v>29</v>
          </cell>
        </row>
        <row r="14">
          <cell r="C14">
            <v>5</v>
          </cell>
          <cell r="D14">
            <v>17</v>
          </cell>
        </row>
        <row r="15">
          <cell r="C15">
            <v>0</v>
          </cell>
          <cell r="D15">
            <v>30</v>
          </cell>
        </row>
        <row r="16">
          <cell r="C16">
            <v>1</v>
          </cell>
          <cell r="D16">
            <v>24</v>
          </cell>
        </row>
        <row r="17">
          <cell r="C17">
            <v>2</v>
          </cell>
          <cell r="D17">
            <v>21</v>
          </cell>
        </row>
        <row r="18">
          <cell r="C18">
            <v>8</v>
          </cell>
          <cell r="D18">
            <v>12</v>
          </cell>
        </row>
        <row r="19">
          <cell r="C19">
            <v>0</v>
          </cell>
          <cell r="D19">
            <v>31</v>
          </cell>
        </row>
        <row r="20">
          <cell r="C20">
            <v>51</v>
          </cell>
          <cell r="D20">
            <v>1</v>
          </cell>
        </row>
        <row r="21">
          <cell r="C21">
            <v>1</v>
          </cell>
          <cell r="D21">
            <v>25</v>
          </cell>
        </row>
        <row r="22">
          <cell r="C22">
            <v>1</v>
          </cell>
          <cell r="D22">
            <v>26</v>
          </cell>
        </row>
        <row r="23">
          <cell r="C23">
            <v>10</v>
          </cell>
          <cell r="D23">
            <v>9</v>
          </cell>
        </row>
        <row r="24">
          <cell r="C24">
            <v>14</v>
          </cell>
          <cell r="D24">
            <v>4</v>
          </cell>
        </row>
        <row r="25">
          <cell r="C25">
            <v>8</v>
          </cell>
          <cell r="D25">
            <v>13</v>
          </cell>
        </row>
        <row r="26">
          <cell r="C26">
            <v>3</v>
          </cell>
          <cell r="D26">
            <v>20</v>
          </cell>
        </row>
        <row r="27">
          <cell r="C27">
            <v>12</v>
          </cell>
          <cell r="D27">
            <v>7</v>
          </cell>
        </row>
        <row r="28">
          <cell r="C28">
            <v>10</v>
          </cell>
          <cell r="D28">
            <v>10</v>
          </cell>
        </row>
        <row r="29">
          <cell r="C29">
            <v>0</v>
          </cell>
          <cell r="D29">
            <v>32</v>
          </cell>
        </row>
        <row r="30">
          <cell r="C30">
            <v>11</v>
          </cell>
          <cell r="D30">
            <v>8</v>
          </cell>
        </row>
        <row r="31">
          <cell r="C31">
            <v>14</v>
          </cell>
          <cell r="D31">
            <v>5</v>
          </cell>
        </row>
        <row r="32">
          <cell r="C32">
            <v>4</v>
          </cell>
          <cell r="D32">
            <v>18</v>
          </cell>
        </row>
        <row r="33">
          <cell r="C33">
            <v>7</v>
          </cell>
          <cell r="D33">
            <v>15</v>
          </cell>
        </row>
        <row r="34">
          <cell r="C34">
            <v>9</v>
          </cell>
          <cell r="D34">
            <v>11</v>
          </cell>
        </row>
        <row r="35">
          <cell r="C35">
            <v>1</v>
          </cell>
          <cell r="D35">
            <v>27</v>
          </cell>
        </row>
        <row r="36">
          <cell r="C36">
            <v>4</v>
          </cell>
          <cell r="D36">
            <v>19</v>
          </cell>
        </row>
      </sheetData>
      <sheetData sheetId="44">
        <row r="5">
          <cell r="C5">
            <v>0</v>
          </cell>
          <cell r="D5">
            <v>7</v>
          </cell>
        </row>
        <row r="6">
          <cell r="C6">
            <v>0</v>
          </cell>
          <cell r="D6">
            <v>8</v>
          </cell>
        </row>
        <row r="7">
          <cell r="C7">
            <v>0</v>
          </cell>
          <cell r="D7">
            <v>9</v>
          </cell>
        </row>
        <row r="8">
          <cell r="C8">
            <v>25</v>
          </cell>
          <cell r="D8">
            <v>1</v>
          </cell>
        </row>
        <row r="9">
          <cell r="C9">
            <v>0</v>
          </cell>
          <cell r="D9">
            <v>10</v>
          </cell>
        </row>
        <row r="10">
          <cell r="C10">
            <v>1</v>
          </cell>
          <cell r="D10">
            <v>5</v>
          </cell>
        </row>
        <row r="11">
          <cell r="C11">
            <v>0</v>
          </cell>
          <cell r="D11">
            <v>11</v>
          </cell>
        </row>
        <row r="12">
          <cell r="C12">
            <v>0</v>
          </cell>
          <cell r="D12">
            <v>12</v>
          </cell>
        </row>
        <row r="13">
          <cell r="C13">
            <v>0</v>
          </cell>
          <cell r="D13">
            <v>13</v>
          </cell>
        </row>
        <row r="14">
          <cell r="C14">
            <v>0</v>
          </cell>
          <cell r="D14">
            <v>14</v>
          </cell>
        </row>
        <row r="15">
          <cell r="C15">
            <v>0</v>
          </cell>
          <cell r="D15">
            <v>15</v>
          </cell>
        </row>
        <row r="16">
          <cell r="C16">
            <v>0</v>
          </cell>
          <cell r="D16">
            <v>16</v>
          </cell>
        </row>
        <row r="17">
          <cell r="C17">
            <v>0</v>
          </cell>
          <cell r="D17">
            <v>17</v>
          </cell>
        </row>
        <row r="18">
          <cell r="C18">
            <v>0</v>
          </cell>
          <cell r="D18">
            <v>18</v>
          </cell>
        </row>
        <row r="19">
          <cell r="C19">
            <v>0</v>
          </cell>
          <cell r="D19">
            <v>19</v>
          </cell>
        </row>
        <row r="20">
          <cell r="C20">
            <v>9</v>
          </cell>
          <cell r="D20">
            <v>2</v>
          </cell>
        </row>
        <row r="21">
          <cell r="C21">
            <v>0</v>
          </cell>
          <cell r="D21">
            <v>20</v>
          </cell>
        </row>
        <row r="22">
          <cell r="C22">
            <v>0</v>
          </cell>
          <cell r="D22">
            <v>21</v>
          </cell>
        </row>
        <row r="23">
          <cell r="C23">
            <v>0</v>
          </cell>
          <cell r="D23">
            <v>22</v>
          </cell>
        </row>
        <row r="24">
          <cell r="C24">
            <v>0</v>
          </cell>
          <cell r="D24">
            <v>23</v>
          </cell>
        </row>
        <row r="25">
          <cell r="C25">
            <v>3</v>
          </cell>
          <cell r="D25">
            <v>3</v>
          </cell>
        </row>
        <row r="26">
          <cell r="C26">
            <v>0</v>
          </cell>
          <cell r="D26">
            <v>24</v>
          </cell>
        </row>
        <row r="27">
          <cell r="C27">
            <v>0</v>
          </cell>
          <cell r="D27">
            <v>25</v>
          </cell>
        </row>
        <row r="28">
          <cell r="C28">
            <v>3</v>
          </cell>
          <cell r="D28">
            <v>4</v>
          </cell>
        </row>
        <row r="29">
          <cell r="C29">
            <v>0</v>
          </cell>
          <cell r="D29">
            <v>26</v>
          </cell>
        </row>
        <row r="30">
          <cell r="C30">
            <v>0</v>
          </cell>
          <cell r="D30">
            <v>27</v>
          </cell>
        </row>
        <row r="31">
          <cell r="C31">
            <v>0</v>
          </cell>
          <cell r="D31">
            <v>28</v>
          </cell>
        </row>
        <row r="32">
          <cell r="C32">
            <v>0</v>
          </cell>
          <cell r="D32">
            <v>29</v>
          </cell>
        </row>
        <row r="33">
          <cell r="C33">
            <v>1</v>
          </cell>
          <cell r="D33">
            <v>6</v>
          </cell>
        </row>
        <row r="34">
          <cell r="C34">
            <v>0</v>
          </cell>
          <cell r="D34">
            <v>30</v>
          </cell>
        </row>
        <row r="35">
          <cell r="C35">
            <v>0</v>
          </cell>
          <cell r="D35">
            <v>31</v>
          </cell>
        </row>
        <row r="36">
          <cell r="C36">
            <v>0</v>
          </cell>
          <cell r="D36">
            <v>32</v>
          </cell>
        </row>
      </sheetData>
      <sheetData sheetId="45">
        <row r="5">
          <cell r="C5">
            <v>4</v>
          </cell>
          <cell r="D5">
            <v>24</v>
          </cell>
        </row>
        <row r="6">
          <cell r="C6">
            <v>24</v>
          </cell>
          <cell r="D6">
            <v>3</v>
          </cell>
        </row>
        <row r="7">
          <cell r="C7">
            <v>6</v>
          </cell>
          <cell r="D7">
            <v>19</v>
          </cell>
        </row>
        <row r="8">
          <cell r="C8">
            <v>39</v>
          </cell>
          <cell r="D8">
            <v>2</v>
          </cell>
        </row>
        <row r="9">
          <cell r="C9">
            <v>2</v>
          </cell>
          <cell r="D9">
            <v>30</v>
          </cell>
        </row>
        <row r="10">
          <cell r="C10">
            <v>17</v>
          </cell>
          <cell r="D10">
            <v>4</v>
          </cell>
        </row>
        <row r="11">
          <cell r="C11">
            <v>4</v>
          </cell>
          <cell r="D11">
            <v>25</v>
          </cell>
        </row>
        <row r="12">
          <cell r="C12">
            <v>8</v>
          </cell>
          <cell r="D12">
            <v>16</v>
          </cell>
        </row>
        <row r="13">
          <cell r="C13">
            <v>3</v>
          </cell>
          <cell r="D13">
            <v>26</v>
          </cell>
        </row>
        <row r="14">
          <cell r="C14">
            <v>6</v>
          </cell>
          <cell r="D14">
            <v>20</v>
          </cell>
        </row>
        <row r="15">
          <cell r="C15">
            <v>2</v>
          </cell>
          <cell r="D15">
            <v>31</v>
          </cell>
        </row>
        <row r="16">
          <cell r="C16">
            <v>8</v>
          </cell>
          <cell r="D16">
            <v>17</v>
          </cell>
        </row>
        <row r="17">
          <cell r="C17">
            <v>5</v>
          </cell>
          <cell r="D17">
            <v>22</v>
          </cell>
        </row>
        <row r="18">
          <cell r="C18">
            <v>13</v>
          </cell>
          <cell r="D18">
            <v>9</v>
          </cell>
        </row>
        <row r="19">
          <cell r="C19">
            <v>11</v>
          </cell>
          <cell r="D19">
            <v>13</v>
          </cell>
        </row>
        <row r="20">
          <cell r="C20">
            <v>61</v>
          </cell>
          <cell r="D20">
            <v>1</v>
          </cell>
        </row>
        <row r="21">
          <cell r="C21">
            <v>3</v>
          </cell>
          <cell r="D21">
            <v>27</v>
          </cell>
        </row>
        <row r="22">
          <cell r="C22">
            <v>2</v>
          </cell>
          <cell r="D22">
            <v>32</v>
          </cell>
        </row>
        <row r="23">
          <cell r="C23">
            <v>11</v>
          </cell>
          <cell r="D23">
            <v>14</v>
          </cell>
        </row>
        <row r="24">
          <cell r="C24">
            <v>14</v>
          </cell>
          <cell r="D24">
            <v>5</v>
          </cell>
        </row>
        <row r="25">
          <cell r="C25">
            <v>14</v>
          </cell>
          <cell r="D25">
            <v>6</v>
          </cell>
        </row>
        <row r="26">
          <cell r="C26">
            <v>7</v>
          </cell>
          <cell r="D26">
            <v>18</v>
          </cell>
        </row>
        <row r="27">
          <cell r="C27">
            <v>12</v>
          </cell>
          <cell r="D27">
            <v>11</v>
          </cell>
        </row>
        <row r="28">
          <cell r="C28">
            <v>14</v>
          </cell>
          <cell r="D28">
            <v>7</v>
          </cell>
        </row>
        <row r="29">
          <cell r="C29">
            <v>3</v>
          </cell>
          <cell r="D29">
            <v>28</v>
          </cell>
        </row>
        <row r="30">
          <cell r="C30">
            <v>13</v>
          </cell>
          <cell r="D30">
            <v>10</v>
          </cell>
        </row>
        <row r="31">
          <cell r="C31">
            <v>14</v>
          </cell>
          <cell r="D31">
            <v>8</v>
          </cell>
        </row>
        <row r="32">
          <cell r="C32">
            <v>5</v>
          </cell>
          <cell r="D32">
            <v>23</v>
          </cell>
        </row>
        <row r="33">
          <cell r="C33">
            <v>12</v>
          </cell>
          <cell r="D33">
            <v>12</v>
          </cell>
        </row>
        <row r="34">
          <cell r="C34">
            <v>10</v>
          </cell>
          <cell r="D34">
            <v>15</v>
          </cell>
        </row>
        <row r="35">
          <cell r="C35">
            <v>3</v>
          </cell>
          <cell r="D35">
            <v>29</v>
          </cell>
        </row>
        <row r="36">
          <cell r="C36">
            <v>6</v>
          </cell>
          <cell r="D36">
            <v>21</v>
          </cell>
        </row>
      </sheetData>
      <sheetData sheetId="46"/>
      <sheetData sheetId="47"/>
      <sheetData sheetId="48"/>
      <sheetData sheetId="49"/>
      <sheetData sheetId="50"/>
      <sheetData sheetId="51">
        <row r="5">
          <cell r="C5">
            <v>1889</v>
          </cell>
          <cell r="D5">
            <v>15</v>
          </cell>
        </row>
        <row r="6">
          <cell r="C6">
            <v>2329</v>
          </cell>
          <cell r="D6">
            <v>9</v>
          </cell>
        </row>
        <row r="7">
          <cell r="C7">
            <v>2019</v>
          </cell>
          <cell r="D7">
            <v>12</v>
          </cell>
        </row>
        <row r="8">
          <cell r="C8">
            <v>1556</v>
          </cell>
          <cell r="D8">
            <v>21</v>
          </cell>
        </row>
        <row r="9">
          <cell r="C9">
            <v>631</v>
          </cell>
          <cell r="D9">
            <v>29</v>
          </cell>
        </row>
        <row r="10">
          <cell r="C10">
            <v>2112</v>
          </cell>
          <cell r="D10">
            <v>11</v>
          </cell>
        </row>
        <row r="11">
          <cell r="C11">
            <v>3924</v>
          </cell>
          <cell r="D11">
            <v>5</v>
          </cell>
        </row>
        <row r="12">
          <cell r="C12">
            <v>1254</v>
          </cell>
          <cell r="D12">
            <v>25</v>
          </cell>
        </row>
        <row r="13">
          <cell r="C13">
            <v>1378</v>
          </cell>
          <cell r="D13">
            <v>24</v>
          </cell>
        </row>
        <row r="14">
          <cell r="C14">
            <v>1173</v>
          </cell>
          <cell r="D14">
            <v>26</v>
          </cell>
        </row>
        <row r="15">
          <cell r="C15">
            <v>1559</v>
          </cell>
          <cell r="D15">
            <v>20</v>
          </cell>
        </row>
        <row r="16">
          <cell r="C16">
            <v>5031</v>
          </cell>
          <cell r="D16">
            <v>3</v>
          </cell>
        </row>
        <row r="17">
          <cell r="C17">
            <v>1549</v>
          </cell>
          <cell r="D17">
            <v>22</v>
          </cell>
        </row>
        <row r="18">
          <cell r="C18">
            <v>6444</v>
          </cell>
          <cell r="D18">
            <v>1</v>
          </cell>
        </row>
        <row r="19">
          <cell r="C19">
            <v>5993</v>
          </cell>
          <cell r="D19">
            <v>2</v>
          </cell>
        </row>
        <row r="20">
          <cell r="C20">
            <v>4646</v>
          </cell>
          <cell r="D20">
            <v>4</v>
          </cell>
        </row>
        <row r="21">
          <cell r="C21">
            <v>1799</v>
          </cell>
          <cell r="D21">
            <v>16</v>
          </cell>
        </row>
        <row r="22">
          <cell r="C22">
            <v>966</v>
          </cell>
          <cell r="D22">
            <v>28</v>
          </cell>
        </row>
        <row r="23">
          <cell r="C23">
            <v>1783</v>
          </cell>
          <cell r="D23">
            <v>17</v>
          </cell>
        </row>
        <row r="24">
          <cell r="C24">
            <v>340</v>
          </cell>
          <cell r="D24">
            <v>32</v>
          </cell>
        </row>
        <row r="25">
          <cell r="C25">
            <v>1957</v>
          </cell>
          <cell r="D25">
            <v>13</v>
          </cell>
        </row>
        <row r="26">
          <cell r="C26">
            <v>3483</v>
          </cell>
          <cell r="D26">
            <v>6</v>
          </cell>
        </row>
        <row r="27">
          <cell r="C27">
            <v>388</v>
          </cell>
          <cell r="D27">
            <v>30</v>
          </cell>
        </row>
        <row r="28">
          <cell r="C28">
            <v>1953</v>
          </cell>
          <cell r="D28">
            <v>14</v>
          </cell>
        </row>
        <row r="29">
          <cell r="C29">
            <v>2134</v>
          </cell>
          <cell r="D29">
            <v>10</v>
          </cell>
        </row>
        <row r="30">
          <cell r="C30">
            <v>2837</v>
          </cell>
          <cell r="D30">
            <v>8</v>
          </cell>
        </row>
        <row r="31">
          <cell r="C31">
            <v>369</v>
          </cell>
          <cell r="D31">
            <v>31</v>
          </cell>
        </row>
        <row r="32">
          <cell r="C32">
            <v>1474</v>
          </cell>
          <cell r="D32">
            <v>23</v>
          </cell>
        </row>
        <row r="33">
          <cell r="C33">
            <v>3391</v>
          </cell>
          <cell r="D33">
            <v>7</v>
          </cell>
        </row>
        <row r="34">
          <cell r="C34">
            <v>1056</v>
          </cell>
          <cell r="D34">
            <v>27</v>
          </cell>
        </row>
        <row r="35">
          <cell r="C35">
            <v>1591</v>
          </cell>
          <cell r="D35">
            <v>19</v>
          </cell>
        </row>
        <row r="36">
          <cell r="C36">
            <v>1736</v>
          </cell>
          <cell r="D36">
            <v>18</v>
          </cell>
        </row>
      </sheetData>
      <sheetData sheetId="52"/>
      <sheetData sheetId="53">
        <row r="5">
          <cell r="C5">
            <v>435</v>
          </cell>
          <cell r="D5">
            <v>6</v>
          </cell>
        </row>
        <row r="6">
          <cell r="C6">
            <v>362</v>
          </cell>
          <cell r="D6">
            <v>8</v>
          </cell>
        </row>
        <row r="7">
          <cell r="C7">
            <v>99</v>
          </cell>
          <cell r="D7">
            <v>25</v>
          </cell>
        </row>
        <row r="8">
          <cell r="C8">
            <v>332</v>
          </cell>
          <cell r="D8">
            <v>9</v>
          </cell>
        </row>
        <row r="9">
          <cell r="C9">
            <v>68</v>
          </cell>
          <cell r="D9">
            <v>29</v>
          </cell>
        </row>
        <row r="10">
          <cell r="C10">
            <v>363</v>
          </cell>
          <cell r="D10">
            <v>7</v>
          </cell>
        </row>
        <row r="11">
          <cell r="C11">
            <v>656</v>
          </cell>
          <cell r="D11">
            <v>3</v>
          </cell>
        </row>
        <row r="12">
          <cell r="C12">
            <v>164</v>
          </cell>
          <cell r="D12">
            <v>18</v>
          </cell>
        </row>
        <row r="13">
          <cell r="C13">
            <v>81</v>
          </cell>
          <cell r="D13">
            <v>27</v>
          </cell>
        </row>
        <row r="14">
          <cell r="C14">
            <v>139</v>
          </cell>
          <cell r="D14">
            <v>22</v>
          </cell>
        </row>
        <row r="15">
          <cell r="C15">
            <v>80</v>
          </cell>
          <cell r="D15">
            <v>28</v>
          </cell>
        </row>
        <row r="16">
          <cell r="C16">
            <v>783</v>
          </cell>
          <cell r="D16">
            <v>2</v>
          </cell>
        </row>
        <row r="17">
          <cell r="C17">
            <v>159</v>
          </cell>
          <cell r="D17">
            <v>20</v>
          </cell>
        </row>
        <row r="18">
          <cell r="C18">
            <v>482</v>
          </cell>
          <cell r="D18">
            <v>5</v>
          </cell>
        </row>
        <row r="19">
          <cell r="C19">
            <v>1562</v>
          </cell>
          <cell r="D19">
            <v>1</v>
          </cell>
        </row>
        <row r="20">
          <cell r="C20">
            <v>268</v>
          </cell>
          <cell r="D20">
            <v>13</v>
          </cell>
        </row>
        <row r="21">
          <cell r="C21">
            <v>115</v>
          </cell>
          <cell r="D21">
            <v>24</v>
          </cell>
        </row>
        <row r="22">
          <cell r="C22">
            <v>97</v>
          </cell>
          <cell r="D22">
            <v>26</v>
          </cell>
        </row>
        <row r="23">
          <cell r="C23">
            <v>142</v>
          </cell>
          <cell r="D23">
            <v>21</v>
          </cell>
        </row>
        <row r="24">
          <cell r="C24">
            <v>21</v>
          </cell>
          <cell r="D24">
            <v>31</v>
          </cell>
        </row>
        <row r="25">
          <cell r="C25">
            <v>230</v>
          </cell>
          <cell r="D25">
            <v>15</v>
          </cell>
        </row>
        <row r="26">
          <cell r="C26">
            <v>495</v>
          </cell>
          <cell r="D26">
            <v>4</v>
          </cell>
        </row>
        <row r="27">
          <cell r="C27">
            <v>29</v>
          </cell>
          <cell r="D27">
            <v>30</v>
          </cell>
        </row>
        <row r="28">
          <cell r="C28">
            <v>287</v>
          </cell>
          <cell r="D28">
            <v>11</v>
          </cell>
        </row>
        <row r="29">
          <cell r="C29">
            <v>169</v>
          </cell>
          <cell r="D29">
            <v>17</v>
          </cell>
        </row>
        <row r="30">
          <cell r="C30">
            <v>285</v>
          </cell>
          <cell r="D30">
            <v>12</v>
          </cell>
        </row>
        <row r="31">
          <cell r="C31">
            <v>16</v>
          </cell>
          <cell r="D31">
            <v>32</v>
          </cell>
        </row>
        <row r="32">
          <cell r="C32">
            <v>310</v>
          </cell>
          <cell r="D32">
            <v>10</v>
          </cell>
        </row>
        <row r="33">
          <cell r="C33">
            <v>251</v>
          </cell>
          <cell r="D33">
            <v>14</v>
          </cell>
        </row>
        <row r="34">
          <cell r="C34">
            <v>160</v>
          </cell>
          <cell r="D34">
            <v>19</v>
          </cell>
        </row>
        <row r="35">
          <cell r="C35">
            <v>121</v>
          </cell>
          <cell r="D35">
            <v>23</v>
          </cell>
        </row>
        <row r="36">
          <cell r="C36">
            <v>178</v>
          </cell>
          <cell r="D36">
            <v>16</v>
          </cell>
        </row>
      </sheetData>
      <sheetData sheetId="54">
        <row r="5">
          <cell r="C5">
            <v>396</v>
          </cell>
          <cell r="D5">
            <v>6</v>
          </cell>
        </row>
        <row r="6">
          <cell r="C6">
            <v>1720</v>
          </cell>
          <cell r="D6">
            <v>2</v>
          </cell>
        </row>
        <row r="7">
          <cell r="C7">
            <v>2667</v>
          </cell>
          <cell r="D7">
            <v>1</v>
          </cell>
        </row>
        <row r="8">
          <cell r="C8">
            <v>125</v>
          </cell>
          <cell r="D8">
            <v>13</v>
          </cell>
        </row>
        <row r="9">
          <cell r="C9">
            <v>1145</v>
          </cell>
          <cell r="D9">
            <v>3</v>
          </cell>
        </row>
        <row r="10">
          <cell r="C10">
            <v>352</v>
          </cell>
          <cell r="D10">
            <v>8</v>
          </cell>
        </row>
        <row r="11">
          <cell r="C11">
            <v>21</v>
          </cell>
          <cell r="D11">
            <v>15</v>
          </cell>
        </row>
        <row r="12">
          <cell r="C12">
            <v>66</v>
          </cell>
          <cell r="D12">
            <v>14</v>
          </cell>
        </row>
        <row r="13">
          <cell r="C13">
            <v>482</v>
          </cell>
          <cell r="D13">
            <v>5</v>
          </cell>
        </row>
        <row r="14">
          <cell r="C14">
            <v>363</v>
          </cell>
          <cell r="D14">
            <v>7</v>
          </cell>
        </row>
        <row r="15">
          <cell r="C15">
            <v>523</v>
          </cell>
          <cell r="D15">
            <v>4</v>
          </cell>
        </row>
        <row r="16">
          <cell r="C16">
            <v>234</v>
          </cell>
          <cell r="D16">
            <v>12</v>
          </cell>
        </row>
        <row r="17">
          <cell r="C17">
            <v>329</v>
          </cell>
          <cell r="D17">
            <v>9</v>
          </cell>
        </row>
        <row r="18">
          <cell r="C18">
            <v>273</v>
          </cell>
          <cell r="D18">
            <v>10</v>
          </cell>
        </row>
        <row r="19">
          <cell r="C19">
            <v>243</v>
          </cell>
          <cell r="D19">
            <v>11</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Welsh, Gregor" refreshedDate="43726.675262037039" createdVersion="5" refreshedVersion="5" minRefreshableVersion="3" recordCount="312">
  <cacheSource type="worksheet">
    <worksheetSource ref="A4:L316" sheet="T4a"/>
  </cacheSource>
  <cacheFields count="12">
    <cacheField name="FinYr" numFmtId="0">
      <sharedItems count="6">
        <s v="2013-14"/>
        <s v="2014-15"/>
        <s v="2015-16"/>
        <s v="2016-17"/>
        <s v="2017-18"/>
        <s v="2018-19"/>
      </sharedItems>
    </cacheField>
    <cacheField name="ReportingLevel" numFmtId="0">
      <sharedItems count="4">
        <s v="1:LA"/>
        <s v="2:LSO"/>
        <s v="3:SDA"/>
        <s v="4:National"/>
      </sharedItems>
    </cacheField>
    <cacheField name="Code" numFmtId="0">
      <sharedItems/>
    </cacheField>
    <cacheField name="lvl" numFmtId="0">
      <sharedItems count="48">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 v="Aberdeenshire and Moray"/>
        <s v="Argyll and Bute, East Dunbartonshire and West Dunbartonshire"/>
        <s v="East Ayrshire, North Ayrshire and South Ayrshire"/>
        <s v="East Lothian, Midlothian and the Scottish Borders"/>
        <s v="East Renfrewshire, Renfrewshire and Inverclyde"/>
        <s v="Edinburgh City"/>
        <s v="Falkirk and West Lothian"/>
        <s v="Highlands"/>
        <s v="Stirling and Clackmannanshire"/>
        <s v="Western Isles, Orkney and Shetland Islands"/>
        <s v="Dundee, Angus, Perth and Kinross"/>
        <s v="West"/>
        <s v="East"/>
        <s v="North"/>
        <s v="Scotland"/>
        <s v="16:Highland" u="1"/>
      </sharedItems>
    </cacheField>
    <cacheField name="Total" numFmtId="0">
      <sharedItems containsSemiMixedTypes="0" containsString="0" containsNumber="1" containsInteger="1" minValue="0" maxValue="560"/>
    </cacheField>
    <cacheField name="Area Manager" numFmtId="0">
      <sharedItems containsString="0" containsBlank="1" containsNumber="1" containsInteger="1" minValue="0" maxValue="18"/>
    </cacheField>
    <cacheField name="Brigade Manager" numFmtId="0">
      <sharedItems containsString="0" containsBlank="1" containsNumber="1" containsInteger="1" minValue="1" maxValue="7"/>
    </cacheField>
    <cacheField name="Crew Manager" numFmtId="0">
      <sharedItems containsString="0" containsBlank="1" containsNumber="1" containsInteger="1" minValue="0" maxValue="119"/>
    </cacheField>
    <cacheField name="Firefighter" numFmtId="0">
      <sharedItems containsString="0" containsBlank="1" containsNumber="1" containsInteger="1" minValue="0" maxValue="373"/>
    </cacheField>
    <cacheField name="Group Manager" numFmtId="0">
      <sharedItems containsString="0" containsBlank="1" containsNumber="1" containsInteger="1" minValue="1" maxValue="22"/>
    </cacheField>
    <cacheField name="Station Manager" numFmtId="0">
      <sharedItems containsString="0" containsBlank="1" containsNumber="1" containsInteger="1" minValue="0" maxValue="19"/>
    </cacheField>
    <cacheField name="Watch Manager" numFmtId="0">
      <sharedItems containsSemiMixedTypes="0" containsString="0" containsNumber="1" containsInteger="1" minValue="0" maxValue="93"/>
    </cacheField>
  </cacheFields>
  <extLst>
    <ext xmlns:x14="http://schemas.microsoft.com/office/spreadsheetml/2009/9/main" uri="{725AE2AE-9491-48be-B2B4-4EB974FC3084}">
      <x14:pivotCacheDefinition pivotCacheId="70"/>
    </ext>
  </extLst>
</pivotCacheDefinition>
</file>

<file path=xl/pivotCache/pivotCacheDefinition10.xml><?xml version="1.0" encoding="utf-8"?>
<pivotCacheDefinition xmlns="http://schemas.openxmlformats.org/spreadsheetml/2006/main" xmlns:r="http://schemas.openxmlformats.org/officeDocument/2006/relationships" r:id="rId1" refreshedBy="Welsh, Gregor" refreshedDate="43726.675266782404" createdVersion="5" refreshedVersion="5" minRefreshableVersion="3" recordCount="30">
  <cacheSource type="worksheet">
    <worksheetSource ref="A4:E34" sheet="T8"/>
  </cacheSource>
  <cacheFields count="5">
    <cacheField name="FinYr" numFmtId="0">
      <sharedItems count="6">
        <s v="2013-14"/>
        <s v="2014-15"/>
        <s v="2015-16"/>
        <s v="2016-17"/>
        <s v="2017-18"/>
        <s v="2018-19"/>
      </sharedItems>
    </cacheField>
    <cacheField name="Type" numFmtId="0">
      <sharedItems count="5">
        <s v="Control"/>
        <s v="RDS"/>
        <s v="Support"/>
        <s v="Vol"/>
        <s v="WT"/>
      </sharedItems>
    </cacheField>
    <cacheField name="Total" numFmtId="0">
      <sharedItems containsSemiMixedTypes="0" containsString="0" containsNumber="1" containsInteger="1" minValue="165" maxValue="4001"/>
    </cacheField>
    <cacheField name="Female" numFmtId="0">
      <sharedItems containsSemiMixedTypes="0" containsString="0" containsNumber="1" containsInteger="1" minValue="48" maxValue="545"/>
    </cacheField>
    <cacheField name="Male" numFmtId="0">
      <sharedItems containsSemiMixedTypes="0" containsString="0" containsNumber="1" containsInteger="1" minValue="24" maxValue="3842"/>
    </cacheField>
  </cacheFields>
  <extLst>
    <ext xmlns:x14="http://schemas.microsoft.com/office/spreadsheetml/2009/9/main" uri="{725AE2AE-9491-48be-B2B4-4EB974FC3084}">
      <x14:pivotCacheDefinition pivotCacheId="13"/>
    </ext>
  </extLst>
</pivotCacheDefinition>
</file>

<file path=xl/pivotCache/pivotCacheDefinition11.xml><?xml version="1.0" encoding="utf-8"?>
<pivotCacheDefinition xmlns="http://schemas.openxmlformats.org/spreadsheetml/2006/main" xmlns:r="http://schemas.openxmlformats.org/officeDocument/2006/relationships" r:id="rId1" refreshedBy="Welsh, Gregor" refreshedDate="43726.675267129627" createdVersion="5" refreshedVersion="5" minRefreshableVersion="3" recordCount="69">
  <cacheSource type="worksheet">
    <worksheetSource ref="A4:H73" sheet="T10"/>
  </cacheSource>
  <cacheFields count="8">
    <cacheField name="FinYr" numFmtId="0">
      <sharedItems count="6">
        <s v="2013-14"/>
        <s v="2014-15"/>
        <s v="2015-16"/>
        <s v="2016-17"/>
        <s v="2017-18"/>
        <s v="2018-19"/>
      </sharedItems>
    </cacheField>
    <cacheField name="AgeRange" numFmtId="0">
      <sharedItems count="17">
        <s v="20-29"/>
        <s v="30-39"/>
        <s v="40-44"/>
        <s v="45-49"/>
        <s v="50-54"/>
        <s v="55-65"/>
        <s v="66 and over"/>
        <s v="Under 20"/>
        <s v="20-24"/>
        <s v="25-29"/>
        <s v="30-34"/>
        <s v="35-39"/>
        <s v="55-59"/>
        <s v="60-64"/>
        <s v="65-69"/>
        <s v="70-74"/>
        <s v="Not Recorded"/>
      </sharedItems>
    </cacheField>
    <cacheField name="Total" numFmtId="0">
      <sharedItems containsSemiMixedTypes="0" containsString="0" containsNumber="1" containsInteger="1" minValue="2" maxValue="2223"/>
    </cacheField>
    <cacheField name="WT" numFmtId="0">
      <sharedItems containsString="0" containsBlank="1" containsNumber="1" containsInteger="1" minValue="0" maxValue="1254"/>
    </cacheField>
    <cacheField name="RDS" numFmtId="0">
      <sharedItems containsString="0" containsBlank="1" containsNumber="1" containsInteger="1" minValue="0" maxValue="691"/>
    </cacheField>
    <cacheField name="Control" numFmtId="0">
      <sharedItems containsString="0" containsBlank="1" containsNumber="1" containsInteger="1" minValue="0" maxValue="52"/>
    </cacheField>
    <cacheField name="Support" numFmtId="0">
      <sharedItems containsString="0" containsBlank="1" containsNumber="1" containsInteger="1" minValue="0" maxValue="248"/>
    </cacheField>
    <cacheField name="Vol" numFmtId="0">
      <sharedItems containsString="0" containsBlank="1" containsNumber="1" containsInteger="1" minValue="0" maxValue="89"/>
    </cacheField>
  </cacheFields>
  <extLst>
    <ext xmlns:x14="http://schemas.microsoft.com/office/spreadsheetml/2009/9/main" uri="{725AE2AE-9491-48be-B2B4-4EB974FC3084}">
      <x14:pivotCacheDefinition pivotCacheId="15"/>
    </ext>
  </extLst>
</pivotCacheDefinition>
</file>

<file path=xl/pivotCache/pivotCacheDefinition12.xml><?xml version="1.0" encoding="utf-8"?>
<pivotCacheDefinition xmlns="http://schemas.openxmlformats.org/spreadsheetml/2006/main" xmlns:r="http://schemas.openxmlformats.org/officeDocument/2006/relationships" r:id="rId1" refreshedBy="Welsh, Gregor" refreshedDate="43726.67526747685" createdVersion="5" refreshedVersion="5" minRefreshableVersion="3" recordCount="18">
  <cacheSource type="worksheet">
    <worksheetSource ref="A4:G22" sheet="T10c"/>
  </cacheSource>
  <cacheFields count="7">
    <cacheField name="FinYr" numFmtId="0">
      <sharedItems count="2">
        <s v="2017-18"/>
        <s v="2018-19"/>
      </sharedItems>
    </cacheField>
    <cacheField name="ServiceLength" numFmtId="0">
      <sharedItems count="9">
        <s v="10-14"/>
        <s v="15-19"/>
        <s v="20-24"/>
        <s v="25-29"/>
        <s v="30-34"/>
        <s v="35-39"/>
        <s v="5-9"/>
        <s v="Over 40"/>
        <s v="Under 5"/>
      </sharedItems>
    </cacheField>
    <cacheField name="Total" numFmtId="0">
      <sharedItems containsSemiMixedTypes="0" containsString="0" containsNumber="1" containsInteger="1" minValue="30" maxValue="1584"/>
    </cacheField>
    <cacheField name="Control" numFmtId="0">
      <sharedItems containsSemiMixedTypes="0" containsString="0" containsNumber="1" containsInteger="1" minValue="4" maxValue="62"/>
    </cacheField>
    <cacheField name="RDS" numFmtId="0">
      <sharedItems containsSemiMixedTypes="0" containsString="0" containsNumber="1" containsInteger="1" minValue="22" maxValue="749"/>
    </cacheField>
    <cacheField name="Vol" numFmtId="0">
      <sharedItems containsSemiMixedTypes="0" containsString="0" containsNumber="1" containsInteger="1" minValue="1" maxValue="97"/>
    </cacheField>
    <cacheField name="WT" numFmtId="0">
      <sharedItems containsSemiMixedTypes="0" containsString="0" containsNumber="1" containsInteger="1" minValue="1" maxValue="879"/>
    </cacheField>
  </cacheFields>
  <extLst>
    <ext xmlns:x14="http://schemas.microsoft.com/office/spreadsheetml/2009/9/main" uri="{725AE2AE-9491-48be-B2B4-4EB974FC3084}">
      <x14:pivotCacheDefinition pivotCacheId="16"/>
    </ext>
  </extLst>
</pivotCacheDefinition>
</file>

<file path=xl/pivotCache/pivotCacheDefinition13.xml><?xml version="1.0" encoding="utf-8"?>
<pivotCacheDefinition xmlns="http://schemas.openxmlformats.org/spreadsheetml/2006/main" xmlns:r="http://schemas.openxmlformats.org/officeDocument/2006/relationships" r:id="rId1" refreshedBy="Welsh, Gregor" refreshedDate="43726.675267939812" createdVersion="5" refreshedVersion="5" minRefreshableVersion="3" recordCount="56">
  <cacheSource type="worksheet">
    <worksheetSource ref="A4:E60" sheet="T11"/>
  </cacheSource>
  <cacheFields count="5">
    <cacheField name="FinYear" numFmtId="0">
      <sharedItems count="8">
        <s v="2011-12"/>
        <s v="2012-13"/>
        <s v="2013-14"/>
        <s v="2014-15"/>
        <s v="2015-16"/>
        <s v="2016-17"/>
        <s v="2017-18"/>
        <s v="2018-19"/>
      </sharedItems>
    </cacheField>
    <cacheField name="Type" numFmtId="0">
      <sharedItems count="7">
        <s v="Control"/>
        <s v="RDS"/>
        <s v="Support"/>
        <s v="Total"/>
        <s v="Total (ex Vol)"/>
        <s v="Vol"/>
        <s v="WT"/>
      </sharedItems>
    </cacheField>
    <cacheField name="White" numFmtId="0">
      <sharedItems containsSemiMixedTypes="0" containsString="0" containsNumber="1" minValue="26.7" maxValue="89.7"/>
    </cacheField>
    <cacheField name="Ethnic Minority" numFmtId="0">
      <sharedItems containsString="0" containsBlank="1" containsNumber="1" minValue="0.1" maxValue="1.8"/>
    </cacheField>
    <cacheField name="Not Stated" numFmtId="0">
      <sharedItems containsSemiMixedTypes="0" containsString="0" containsNumber="1" minValue="9.8000000000000007" maxValue="72.8"/>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Welsh, Gregor" refreshedDate="43726.675268055558" createdVersion="5" refreshedVersion="5" minRefreshableVersion="3" recordCount="32">
  <cacheSource type="worksheet">
    <worksheetSource ref="A25:I57" sheet="T13cm"/>
  </cacheSource>
  <cacheFields count="9">
    <cacheField name="FisYr" numFmtId="0">
      <sharedItems count="1">
        <s v="2018-19"/>
      </sharedItems>
    </cacheField>
    <cacheField name="Council"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LACode" numFmtId="0">
      <sharedItems/>
    </cacheField>
    <cacheField name="Total" numFmtId="0">
      <sharedItems containsSemiMixedTypes="0" containsString="0" containsNumber="1" containsInteger="1" minValue="2" maxValue="61"/>
    </cacheField>
    <cacheField name="Retained" numFmtId="0">
      <sharedItems containsString="0" containsBlank="1" containsNumber="1" containsInteger="1" minValue="1" maxValue="51"/>
    </cacheField>
    <cacheField name="Volunteer" numFmtId="0">
      <sharedItems containsString="0" containsBlank="1" containsNumber="1" containsInteger="1" minValue="1" maxValue="25"/>
    </cacheField>
    <cacheField name="Wholetime" numFmtId="0">
      <sharedItems containsString="0" containsBlank="1" containsNumber="1" containsInteger="1" minValue="1" maxValue="11"/>
    </cacheField>
    <cacheField name="Wholetime and Day" numFmtId="0">
      <sharedItems containsString="0" containsBlank="1" containsNumber="1" containsInteger="1" minValue="1" maxValue="1"/>
    </cacheField>
    <cacheField name="Wholetime and Retained" numFmtId="0">
      <sharedItems containsString="0" containsBlank="1" containsNumber="1" containsInteger="1" minValue="1" maxValue="3"/>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Welsh, Gregor" refreshedDate="43726.675268287036" createdVersion="5" refreshedVersion="5" minRefreshableVersion="3" recordCount="160">
  <cacheSource type="worksheet">
    <worksheetSource ref="A40:S200" sheet="T20"/>
  </cacheSource>
  <cacheFields count="19">
    <cacheField name="Council"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GSSCode" numFmtId="0">
      <sharedItems/>
    </cacheField>
    <cacheField name="FisYr" numFmtId="0">
      <sharedItems count="5">
        <s v="2014-15"/>
        <s v="2015-16"/>
        <s v="2016-17"/>
        <s v="2017-18"/>
        <s v="2018-19"/>
      </sharedItems>
    </cacheField>
    <cacheField name="Total Of PremisesVisited" numFmtId="0">
      <sharedItems containsSemiMixedTypes="0" containsString="0" containsNumber="1" containsInteger="1" minValue="9" maxValue="1956"/>
    </cacheField>
    <cacheField name="Care Home" numFmtId="0">
      <sharedItems containsSemiMixedTypes="0" containsString="0" containsNumber="1" containsInteger="1" minValue="3" maxValue="165"/>
    </cacheField>
    <cacheField name="Factory or Warehouse" numFmtId="0">
      <sharedItems containsString="0" containsBlank="1" containsNumber="1" containsInteger="1" minValue="1" maxValue="117"/>
    </cacheField>
    <cacheField name="Further Education" numFmtId="0">
      <sharedItems containsString="0" containsBlank="1" containsNumber="1" containsInteger="1" minValue="1" maxValue="12"/>
    </cacheField>
    <cacheField name="HMO" numFmtId="0">
      <sharedItems containsString="0" containsBlank="1" containsNumber="1" containsInteger="1" minValue="1" maxValue="1115"/>
    </cacheField>
    <cacheField name="Hospital / Prison" numFmtId="0">
      <sharedItems containsString="0" containsBlank="1" containsNumber="1" containsInteger="1" minValue="1" maxValue="69"/>
    </cacheField>
    <cacheField name="Hostel" numFmtId="0">
      <sharedItems containsString="0" containsBlank="1" containsNumber="1" containsInteger="1" minValue="1" maxValue="69"/>
    </cacheField>
    <cacheField name="Hotel" numFmtId="0">
      <sharedItems containsString="0" containsBlank="1" containsNumber="1" containsInteger="1" minValue="1" maxValue="176"/>
    </cacheField>
    <cacheField name="Licensed Premises" numFmtId="0">
      <sharedItems containsString="0" containsBlank="1" containsNumber="1" containsInteger="1" minValue="1" maxValue="139"/>
    </cacheField>
    <cacheField name="Office" numFmtId="0">
      <sharedItems containsString="0" containsBlank="1" containsNumber="1" containsInteger="1" minValue="1" maxValue="113"/>
    </cacheField>
    <cacheField name="Other Premises Open to Public" numFmtId="0">
      <sharedItems containsString="0" containsBlank="1" containsNumber="1" containsInteger="1" minValue="1" maxValue="108"/>
    </cacheField>
    <cacheField name="Other Sleeping Accommodation" numFmtId="0">
      <sharedItems containsString="0" containsBlank="1" containsNumber="1" containsInteger="1" minValue="1" maxValue="58"/>
    </cacheField>
    <cacheField name="Other Workplace" numFmtId="0">
      <sharedItems containsString="0" containsBlank="1" containsNumber="1" containsInteger="1" minValue="1" maxValue="89"/>
    </cacheField>
    <cacheField name="Public Building" numFmtId="0">
      <sharedItems containsString="0" containsBlank="1" containsNumber="1" containsInteger="1" minValue="1" maxValue="16"/>
    </cacheField>
    <cacheField name="School" numFmtId="0">
      <sharedItems containsString="0" containsBlank="1" containsNumber="1" containsInteger="1" minValue="1" maxValue="122"/>
    </cacheField>
    <cacheField name="Shop" numFmtId="0">
      <sharedItems containsString="0" containsBlank="1" containsNumber="1" containsInteger="1" minValue="1" maxValue="147"/>
    </cacheField>
  </cacheFields>
  <extLst>
    <ext xmlns:x14="http://schemas.microsoft.com/office/spreadsheetml/2009/9/main" uri="{725AE2AE-9491-48be-B2B4-4EB974FC3084}">
      <x14:pivotCacheDefinition pivotCacheId="20"/>
    </ext>
  </extLst>
</pivotCacheDefinition>
</file>

<file path=xl/pivotCache/pivotCacheDefinition16.xml><?xml version="1.0" encoding="utf-8"?>
<pivotCacheDefinition xmlns="http://schemas.openxmlformats.org/spreadsheetml/2006/main" xmlns:r="http://schemas.openxmlformats.org/officeDocument/2006/relationships" r:id="rId1" refreshedBy="Welsh, Gregor" refreshedDate="43726.675268634259" createdVersion="5" refreshedVersion="5" minRefreshableVersion="3" recordCount="75">
  <cacheSource type="worksheet">
    <worksheetSource ref="A4:J79" sheet="T21a"/>
  </cacheSource>
  <cacheFields count="10">
    <cacheField name="FisYr" numFmtId="0">
      <sharedItems count="5">
        <s v="2014-15"/>
        <s v="2015-16"/>
        <s v="2016-17"/>
        <s v="2017-18"/>
        <s v="2018-19"/>
      </sharedItems>
    </cacheField>
    <cacheField name="FSEC" numFmtId="0">
      <sharedItems count="15">
        <s v="A"/>
        <s v="B"/>
        <s v="C"/>
        <s v="E"/>
        <s v="F"/>
        <s v="H"/>
        <s v="J"/>
        <s v="K"/>
        <s v="L"/>
        <s v="M"/>
        <s v="N"/>
        <s v="P"/>
        <s v="R"/>
        <s v="S"/>
        <s v="T"/>
      </sharedItems>
    </cacheField>
    <cacheField name="A_Tally" numFmtId="0">
      <sharedItems containsSemiMixedTypes="0" containsString="0" containsNumber="1" containsInteger="1" minValue="20" maxValue="2916"/>
    </cacheField>
    <cacheField name="A_Hours" numFmtId="0">
      <sharedItems containsSemiMixedTypes="0" containsString="0" containsNumber="1" minValue="104.5" maxValue="10285.25"/>
    </cacheField>
    <cacheField name="B_Tally" numFmtId="0">
      <sharedItems containsSemiMixedTypes="0" containsString="0" containsNumber="1" containsInteger="1" minValue="1" maxValue="163"/>
    </cacheField>
    <cacheField name="B_Hours" numFmtId="0">
      <sharedItems containsSemiMixedTypes="0" containsString="0" containsNumber="1" minValue="4.75" maxValue="2008.25"/>
    </cacheField>
    <cacheField name="Enforcement_Tally" numFmtId="0">
      <sharedItems containsString="0" containsBlank="1" containsNumber="1" containsInteger="1" minValue="1" maxValue="14"/>
    </cacheField>
    <cacheField name="Enforcement_Hours" numFmtId="0">
      <sharedItems containsString="0" containsBlank="1" containsNumber="1" minValue="3" maxValue="436.5"/>
    </cacheField>
    <cacheField name="Prohibition_Tally" numFmtId="0">
      <sharedItems containsString="0" containsBlank="1" containsNumber="1" containsInteger="1" minValue="1" maxValue="12"/>
    </cacheField>
    <cacheField name="Prohibition_Hours" numFmtId="0">
      <sharedItems containsString="0" containsBlank="1" containsNumber="1" minValue="2" maxValue="181.25"/>
    </cacheField>
  </cacheFields>
  <extLst>
    <ext xmlns:x14="http://schemas.microsoft.com/office/spreadsheetml/2009/9/main" uri="{725AE2AE-9491-48be-B2B4-4EB974FC3084}">
      <x14:pivotCacheDefinition pivotCacheId="60"/>
    </ext>
  </extLst>
</pivotCacheDefinition>
</file>

<file path=xl/pivotCache/pivotCacheDefinition17.xml><?xml version="1.0" encoding="utf-8"?>
<pivotCacheDefinition xmlns="http://schemas.openxmlformats.org/spreadsheetml/2006/main" xmlns:r="http://schemas.openxmlformats.org/officeDocument/2006/relationships" r:id="rId1" refreshedBy="Welsh, Gregor" refreshedDate="43726.675269097221" createdVersion="5" refreshedVersion="5" minRefreshableVersion="3" recordCount="160">
  <cacheSource type="worksheet">
    <worksheetSource ref="A4:K164" sheet="T22"/>
  </cacheSource>
  <cacheFields count="11">
    <cacheField name="FisYr" numFmtId="0">
      <sharedItems count="5">
        <s v="2014-15"/>
        <s v="2015-16"/>
        <s v="2016-17"/>
        <s v="2017-18"/>
        <s v="2018-19"/>
      </sharedItems>
    </cacheField>
    <cacheField name="Council"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GSSCode" numFmtId="0">
      <sharedItems/>
    </cacheField>
    <cacheField name="A_Tally" numFmtId="0">
      <sharedItems containsSemiMixedTypes="0" containsString="0" containsNumber="1" containsInteger="1" minValue="5" maxValue="1812"/>
    </cacheField>
    <cacheField name="A_Hours" numFmtId="0">
      <sharedItems containsSemiMixedTypes="0" containsString="0" containsNumber="1" minValue="27.25" maxValue="7682.25"/>
    </cacheField>
    <cacheField name="B_Tally" numFmtId="0">
      <sharedItems containsString="0" containsBlank="1" containsNumber="1" containsInteger="1" minValue="1" maxValue="144"/>
    </cacheField>
    <cacheField name="B_Hours" numFmtId="0">
      <sharedItems containsString="0" containsBlank="1" containsNumber="1" minValue="4.25" maxValue="1064.25"/>
    </cacheField>
    <cacheField name="Enforcement_Tally" numFmtId="0">
      <sharedItems containsString="0" containsBlank="1" containsNumber="1" containsInteger="1" minValue="1" maxValue="10"/>
    </cacheField>
    <cacheField name="Enforcement_Hours" numFmtId="0">
      <sharedItems containsString="0" containsBlank="1" containsNumber="1" minValue="5.5" maxValue="256.5"/>
    </cacheField>
    <cacheField name="Prohibition_Tally" numFmtId="0">
      <sharedItems containsString="0" containsBlank="1" containsNumber="1" containsInteger="1" minValue="1" maxValue="7"/>
    </cacheField>
    <cacheField name="Prohibition_Hours" numFmtId="0">
      <sharedItems containsString="0" containsBlank="1" containsNumber="1" minValue="2.5" maxValue="123"/>
    </cacheField>
  </cacheFields>
  <extLst>
    <ext xmlns:x14="http://schemas.microsoft.com/office/spreadsheetml/2009/9/main" uri="{725AE2AE-9491-48be-B2B4-4EB974FC3084}">
      <x14:pivotCacheDefinition pivotCacheId="64"/>
    </ext>
  </extLst>
</pivotCacheDefinition>
</file>

<file path=xl/pivotCache/pivotCacheDefinition18.xml><?xml version="1.0" encoding="utf-8"?>
<pivotCacheDefinition xmlns="http://schemas.openxmlformats.org/spreadsheetml/2006/main" xmlns:r="http://schemas.openxmlformats.org/officeDocument/2006/relationships" r:id="rId1" refreshedBy="Welsh, Gregor" refreshedDate="43726.675269444444" createdVersion="5" refreshedVersion="5" minRefreshableVersion="3" recordCount="96">
  <cacheSource type="worksheet">
    <worksheetSource ref="A4:H100" sheet="T14a"/>
  </cacheSource>
  <cacheFields count="8">
    <cacheField name="FisYr" numFmtId="0">
      <sharedItems count="3">
        <s v="2016-17"/>
        <s v="2017-18"/>
        <s v="2018-19"/>
      </sharedItems>
    </cacheField>
    <cacheField name="Council"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LACode" numFmtId="0">
      <sharedItems/>
    </cacheField>
    <cacheField name="Total" numFmtId="0">
      <sharedItems containsSemiMixedTypes="0" containsString="0" containsNumber="1" containsInteger="1" minValue="2" maxValue="88"/>
    </cacheField>
    <cacheField name="Aerial Appliances" numFmtId="0">
      <sharedItems containsString="0" containsBlank="1" containsNumber="1" containsInteger="1" minValue="1" maxValue="5"/>
    </cacheField>
    <cacheField name="Other Appliances" numFmtId="0">
      <sharedItems containsString="0" containsBlank="1" containsNumber="1" containsInteger="1" minValue="1" maxValue="26"/>
    </cacheField>
    <cacheField name="Pumping Appliances" numFmtId="0">
      <sharedItems containsSemiMixedTypes="0" containsString="0" containsNumber="1" containsInteger="1" minValue="2" maxValue="68"/>
    </cacheField>
    <cacheField name="Resilience" numFmtId="0">
      <sharedItems containsString="0" containsBlank="1" containsNumber="1" containsInteger="1" minValue="1" maxValue="10"/>
    </cacheField>
  </cacheFields>
  <extLst>
    <ext xmlns:x14="http://schemas.microsoft.com/office/spreadsheetml/2009/9/main" uri="{725AE2AE-9491-48be-B2B4-4EB974FC3084}">
      <x14:pivotCacheDefinition pivotCacheId="26"/>
    </ext>
  </extLst>
</pivotCacheDefinition>
</file>

<file path=xl/pivotCache/pivotCacheDefinition19.xml><?xml version="1.0" encoding="utf-8"?>
<pivotCacheDefinition xmlns="http://schemas.openxmlformats.org/spreadsheetml/2006/main" xmlns:r="http://schemas.openxmlformats.org/officeDocument/2006/relationships" r:id="rId1" refreshedBy="Welsh, Gregor" refreshedDate="43726.675269791667" createdVersion="5" refreshedVersion="5" minRefreshableVersion="3" recordCount="96">
  <cacheSource type="worksheet">
    <worksheetSource ref="A4:J100" sheet="T14ap"/>
  </cacheSource>
  <cacheFields count="10">
    <cacheField name="FisYr" numFmtId="0">
      <sharedItems count="3">
        <s v="2016-17"/>
        <s v="2017-18"/>
        <s v="2018-19"/>
      </sharedItems>
    </cacheField>
    <cacheField name="Council"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LACode" numFmtId="0">
      <sharedItems/>
    </cacheField>
    <cacheField name="Total" numFmtId="0">
      <sharedItems containsSemiMixedTypes="0" containsString="0" containsNumber="1" containsInteger="1" minValue="2" maxValue="88"/>
    </cacheField>
    <cacheField name="Combined Aerial &amp; Pumping" numFmtId="0">
      <sharedItems containsString="0" containsBlank="1" containsNumber="1" containsInteger="1" minValue="1" maxValue="5"/>
    </cacheField>
    <cacheField name="Operational Other" numFmtId="0">
      <sharedItems containsString="0" containsBlank="1" containsNumber="1" containsInteger="1" minValue="1" maxValue="11"/>
    </cacheField>
    <cacheField name="Primarily For Rescue Vehicles" numFmtId="0">
      <sharedItems containsString="0" containsBlank="1" containsNumber="1" containsInteger="1" minValue="1" maxValue="4"/>
    </cacheField>
    <cacheField name="Pumping Appliances" numFmtId="0">
      <sharedItems containsSemiMixedTypes="0" containsString="0" containsNumber="1" containsInteger="1" minValue="2" maxValue="68"/>
    </cacheField>
    <cacheField name="Resilience" numFmtId="0">
      <sharedItems containsString="0" containsBlank="1" containsNumber="1" containsInteger="1" minValue="1" maxValue="10"/>
    </cacheField>
    <cacheField name="Small Firefighting Vehicles" numFmtId="0">
      <sharedItems containsString="0" containsBlank="1" containsNumber="1" containsInteger="1" minValue="1" maxValue="21"/>
    </cacheField>
  </cacheFields>
  <extLst>
    <ext xmlns:x14="http://schemas.microsoft.com/office/spreadsheetml/2009/9/main" uri="{725AE2AE-9491-48be-B2B4-4EB974FC3084}">
      <x14:pivotCacheDefinition pivotCacheId="27"/>
    </ext>
  </extLst>
</pivotCacheDefinition>
</file>

<file path=xl/pivotCache/pivotCacheDefinition2.xml><?xml version="1.0" encoding="utf-8"?>
<pivotCacheDefinition xmlns="http://schemas.openxmlformats.org/spreadsheetml/2006/main" xmlns:r="http://schemas.openxmlformats.org/officeDocument/2006/relationships" r:id="rId1" refreshedBy="Welsh, Gregor" refreshedDate="43726.675262384262" createdVersion="5" refreshedVersion="5" minRefreshableVersion="3" recordCount="140">
  <cacheSource type="worksheet">
    <worksheetSource ref="A4:H144" sheet="T4e"/>
  </cacheSource>
  <cacheFields count="8">
    <cacheField name="FinYr" numFmtId="0">
      <sharedItems count="6">
        <s v="2013-14"/>
        <s v="2014-15"/>
        <s v="2015-16"/>
        <s v="2016-17"/>
        <s v="2017-18"/>
        <s v="2018-19"/>
      </sharedItems>
    </cacheField>
    <cacheField name="ReportingLevel" numFmtId="0">
      <sharedItems count="1">
        <s v="1:LA"/>
      </sharedItems>
    </cacheField>
    <cacheField name="Code" numFmtId="0">
      <sharedItems/>
    </cacheField>
    <cacheField name="lvl" numFmtId="0">
      <sharedItems count="32">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haredItems>
    </cacheField>
    <cacheField name="Total" numFmtId="0">
      <sharedItems containsSemiMixedTypes="0" containsString="0" containsNumber="1" containsInteger="1" minValue="0" maxValue="225"/>
    </cacheField>
    <cacheField name="Watch Manager" numFmtId="0">
      <sharedItems containsString="0" containsBlank="1" containsNumber="1" containsInteger="1" minValue="0" maxValue="25"/>
    </cacheField>
    <cacheField name="Crew Manager" numFmtId="0">
      <sharedItems containsString="0" containsBlank="1" containsNumber="1" containsInteger="1" minValue="0" maxValue="47"/>
    </cacheField>
    <cacheField name="Firefighter" numFmtId="0">
      <sharedItems containsSemiMixedTypes="0" containsString="0" containsNumber="1" containsInteger="1" minValue="0" maxValue="180"/>
    </cacheField>
  </cacheFields>
  <extLst>
    <ext xmlns:x14="http://schemas.microsoft.com/office/spreadsheetml/2009/9/main" uri="{725AE2AE-9491-48be-B2B4-4EB974FC3084}">
      <x14:pivotCacheDefinition pivotCacheId="8"/>
    </ext>
  </extLst>
</pivotCacheDefinition>
</file>

<file path=xl/pivotCache/pivotCacheDefinition20.xml><?xml version="1.0" encoding="utf-8"?>
<pivotCacheDefinition xmlns="http://schemas.openxmlformats.org/spreadsheetml/2006/main" xmlns:r="http://schemas.openxmlformats.org/officeDocument/2006/relationships" r:id="rId1" refreshedBy="Welsh, Gregor" refreshedDate="43726.675270254629" createdVersion="5" refreshedVersion="5" minRefreshableVersion="3" recordCount="160">
  <cacheSource type="worksheet">
    <worksheetSource ref="A15:G175" sheet="T13"/>
  </cacheSource>
  <cacheFields count="7">
    <cacheField name="FisYr" numFmtId="0">
      <sharedItems count="5">
        <s v="2014-15"/>
        <s v="2015-16"/>
        <s v="2016-17"/>
        <s v="2017-18"/>
        <s v="2018-19"/>
      </sharedItems>
    </cacheField>
    <cacheField name="Council"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LACode" numFmtId="0">
      <sharedItems/>
    </cacheField>
    <cacheField name="Wholetime" numFmtId="0">
      <sharedItems containsString="0" containsBlank="1" containsNumber="1" containsInteger="1" minValue="1" maxValue="11"/>
    </cacheField>
    <cacheField name="Retained" numFmtId="0">
      <sharedItems containsString="0" containsBlank="1" containsNumber="1" containsInteger="1" minValue="1" maxValue="51"/>
    </cacheField>
    <cacheField name="Volunteer" numFmtId="0">
      <sharedItems containsString="0" containsBlank="1" containsNumber="1" containsInteger="1" minValue="1" maxValue="25"/>
    </cacheField>
    <cacheField name="Total" numFmtId="0">
      <sharedItems containsSemiMixedTypes="0" containsString="0" containsNumber="1" containsInteger="1" minValue="2" maxValue="61"/>
    </cacheField>
  </cacheFields>
  <extLst>
    <ext xmlns:x14="http://schemas.microsoft.com/office/spreadsheetml/2009/9/main" uri="{725AE2AE-9491-48be-B2B4-4EB974FC3084}">
      <x14:pivotCacheDefinition pivotCacheId="30"/>
    </ext>
  </extLst>
</pivotCacheDefinition>
</file>

<file path=xl/pivotCache/pivotCacheDefinition21.xml><?xml version="1.0" encoding="utf-8"?>
<pivotCacheDefinition xmlns="http://schemas.openxmlformats.org/spreadsheetml/2006/main" xmlns:r="http://schemas.openxmlformats.org/officeDocument/2006/relationships" r:id="rId1" refreshedBy="Welsh, Gregor" refreshedDate="43726.675270601852" createdVersion="5" refreshedVersion="5" minRefreshableVersion="3" recordCount="41">
  <cacheSource type="worksheet">
    <worksheetSource ref="A4:D45" sheet="T14"/>
  </cacheSource>
  <cacheFields count="4">
    <cacheField name="FinYear" numFmtId="0">
      <sharedItems count="3">
        <s v="2016-17"/>
        <s v="2017-18"/>
        <s v="2018-19"/>
      </sharedItems>
    </cacheField>
    <cacheField name="Category" numFmtId="0">
      <sharedItems count="6">
        <s v="Non-Op"/>
        <s v="Op"/>
        <s v="Reserve"/>
        <s v="Training"/>
        <s v="Operational" u="1"/>
        <s v="Non-Operational" u="1"/>
      </sharedItems>
    </cacheField>
    <cacheField name="C18" numFmtId="0">
      <sharedItems count="7">
        <s v="Non-Operational"/>
        <s v="Officer Response Vehicles"/>
        <s v="Aerial Appliances"/>
        <s v="Other Appliances"/>
        <s v="Pumping Appliances"/>
        <s v="Resilience"/>
        <s v="Pumping Appliance" u="1"/>
      </sharedItems>
    </cacheField>
    <cacheField name="2017-18" numFmtId="0">
      <sharedItems containsSemiMixedTypes="0" containsString="0" containsNumber="1" containsInteger="1" minValue="1" maxValue="777"/>
    </cacheField>
  </cacheFields>
  <extLst>
    <ext xmlns:x14="http://schemas.microsoft.com/office/spreadsheetml/2009/9/main" uri="{725AE2AE-9491-48be-B2B4-4EB974FC3084}">
      <x14:pivotCacheDefinition pivotCacheId="24"/>
    </ext>
  </extLst>
</pivotCacheDefinition>
</file>

<file path=xl/pivotCache/pivotCacheDefinition22.xml><?xml version="1.0" encoding="utf-8"?>
<pivotCacheDefinition xmlns="http://schemas.openxmlformats.org/spreadsheetml/2006/main" xmlns:r="http://schemas.openxmlformats.org/officeDocument/2006/relationships" r:id="rId1" refreshedBy="Welsh, Gregor" refreshedDate="43726.67527083333" createdVersion="5" refreshedVersion="5" minRefreshableVersion="3" recordCount="59">
  <cacheSource type="worksheet">
    <worksheetSource ref="A75:D134" sheet="T14"/>
  </cacheSource>
  <cacheFields count="4">
    <cacheField name="FYear" numFmtId="0">
      <sharedItems count="3">
        <s v="2016-17"/>
        <s v="2017-18"/>
        <s v="2018-19"/>
      </sharedItems>
    </cacheField>
    <cacheField name="CategoryPrior" numFmtId="0">
      <sharedItems count="6">
        <s v="Non-Op"/>
        <s v="Op"/>
        <s v="Reserve"/>
        <s v="Training"/>
        <s v="Operational" u="1"/>
        <s v="Non-Operational" u="1"/>
      </sharedItems>
    </cacheField>
    <cacheField name="CPrior" numFmtId="0">
      <sharedItems count="8">
        <s v="Non-Operational Other"/>
        <s v="Combined Aerial &amp; Pumping"/>
        <s v="Fire Boats"/>
        <s v="Operational Other"/>
        <s v="Primarily For Rescue Vehicles"/>
        <s v="Pumping Appliances"/>
        <s v="Resilience"/>
        <s v="Small Firefighting Vehicles"/>
      </sharedItems>
    </cacheField>
    <cacheField name="2016-17" numFmtId="0">
      <sharedItems containsSemiMixedTypes="0" containsString="0" containsNumber="1" containsInteger="1" minValue="1" maxValue="787"/>
    </cacheField>
  </cacheFields>
  <extLst>
    <ext xmlns:x14="http://schemas.microsoft.com/office/spreadsheetml/2009/9/main" uri="{725AE2AE-9491-48be-B2B4-4EB974FC3084}">
      <x14:pivotCacheDefinition pivotCacheId="25"/>
    </ext>
  </extLst>
</pivotCacheDefinition>
</file>

<file path=xl/pivotCache/pivotCacheDefinition23.xml><?xml version="1.0" encoding="utf-8"?>
<pivotCacheDefinition xmlns="http://schemas.openxmlformats.org/spreadsheetml/2006/main" xmlns:r="http://schemas.openxmlformats.org/officeDocument/2006/relationships" r:id="rId1" refreshedBy="Welsh, Gregor" refreshedDate="43726.675270949076" createdVersion="5" refreshedVersion="5" minRefreshableVersion="3" recordCount="192">
  <cacheSource type="worksheet">
    <worksheetSource ref="A4:O196" sheet="T19"/>
  </cacheSource>
  <cacheFields count="15">
    <cacheField name="FisYr" numFmtId="0">
      <sharedItems count="6">
        <s v="2013-14"/>
        <s v="2014-15"/>
        <s v="2015-16"/>
        <s v="2016-17"/>
        <s v="2017-18"/>
        <s v="2018-19"/>
      </sharedItems>
    </cacheField>
    <cacheField name="Council" numFmtId="0">
      <sharedItems count="32">
        <s v="East Dunbartonshire"/>
        <s v="Shetland Islands"/>
        <s v="North Lanarkshire"/>
        <s v="Aberdeen City"/>
        <s v="Aberdeenshire"/>
        <s v="Argyll and Bute"/>
        <s v="East Ayrshire"/>
        <s v="South Ayrshire"/>
        <s v="West Dunbartonshire"/>
        <s v="City of Edinburgh"/>
        <s v="East Renfrewshire"/>
        <s v="Orkney Islands"/>
        <s v="South Lanarkshire"/>
        <s v="East Lothian"/>
        <s v="Angus"/>
        <s v="Dundee City"/>
        <s v="North Ayrshire"/>
        <s v="Clackmannanshire"/>
        <s v="Na h-Eileanan Siar"/>
        <s v="Highland"/>
        <s v="Renfrewshire"/>
        <s v="Fife"/>
        <s v="Perth and Kinross"/>
        <s v="Dumfries and Galloway"/>
        <s v="Stirling"/>
        <s v="Midlothian"/>
        <s v="Moray"/>
        <s v="West Lothian"/>
        <s v="Falkirk"/>
        <s v="Glasgow City"/>
        <s v="Inverclyde"/>
        <s v="Scottish Borders"/>
      </sharedItems>
    </cacheField>
    <cacheField name="GSSCode" numFmtId="0">
      <sharedItems/>
    </cacheField>
    <cacheField name="VisitAlarmInstalled" numFmtId="0">
      <sharedItems containsSemiMixedTypes="0" containsString="0" containsNumber="1" containsInteger="1" minValue="55" maxValue="3531"/>
    </cacheField>
    <cacheField name="VisitAdviceOnly" numFmtId="0">
      <sharedItems containsSemiMixedTypes="0" containsString="0" containsNumber="1" containsInteger="1" minValue="150" maxValue="7063"/>
    </cacheField>
    <cacheField name="TotalVisits" numFmtId="0">
      <sharedItems containsSemiMixedTypes="0" containsString="0" containsNumber="1" containsInteger="1" minValue="223" maxValue="10055"/>
    </cacheField>
    <cacheField name="TotalAlarms" numFmtId="0">
      <sharedItems containsSemiMixedTypes="0" containsString="0" containsNumber="1" containsInteger="1" minValue="102" maxValue="5634"/>
    </cacheField>
    <cacheField name="TotalNewAlarms" numFmtId="0">
      <sharedItems containsSemiMixedTypes="0" containsString="0" containsNumber="1" containsInteger="1" minValue="60" maxValue="3943"/>
    </cacheField>
    <cacheField name="TotalReplacedAlarms" numFmtId="0">
      <sharedItems containsSemiMixedTypes="0" containsString="0" containsNumber="1" containsInteger="1" minValue="11" maxValue="1854"/>
    </cacheField>
    <cacheField name="Dwellings" numFmtId="0">
      <sharedItems containsSemiMixedTypes="0" containsString="0" containsNumber="1" containsInteger="1" minValue="10717" maxValue="311447"/>
    </cacheField>
    <cacheField name="VisitsPer100Dwelling" numFmtId="0">
      <sharedItems containsSemiMixedTypes="0" containsString="0" containsNumber="1" minValue="1.202" maxValue="10.023"/>
    </cacheField>
    <cacheField name="AlarmsPer100Dwelling" numFmtId="0">
      <sharedItems containsSemiMixedTypes="0" containsString="0" containsNumber="1" minValue="0.58499999999999996" maxValue="3.7"/>
    </cacheField>
    <cacheField name="Households" numFmtId="0">
      <sharedItems containsSemiMixedTypes="0" containsString="0" containsNumber="1" containsInteger="1" minValue="9945" maxValue="292619"/>
    </cacheField>
    <cacheField name="VisitsPer100Household" numFmtId="0">
      <sharedItems containsSemiMixedTypes="0" containsString="0" containsNumber="1" minValue="1.2669999999999999" maxValue="10.609"/>
    </cacheField>
    <cacheField name="AlarmsPer100Household" numFmtId="0">
      <sharedItems containsSemiMixedTypes="0" containsString="0" containsNumber="1" minValue="0.63" maxValue="3.996"/>
    </cacheField>
  </cacheFields>
  <extLst>
    <ext xmlns:x14="http://schemas.microsoft.com/office/spreadsheetml/2009/9/main" uri="{725AE2AE-9491-48be-B2B4-4EB974FC3084}">
      <x14:pivotCacheDefinition pivotCacheId="33"/>
    </ext>
  </extLst>
</pivotCacheDefinition>
</file>

<file path=xl/pivotCache/pivotCacheDefinition24.xml><?xml version="1.0" encoding="utf-8"?>
<pivotCacheDefinition xmlns="http://schemas.openxmlformats.org/spreadsheetml/2006/main" xmlns:r="http://schemas.openxmlformats.org/officeDocument/2006/relationships" r:id="rId1" refreshedBy="Welsh, Gregor" refreshedDate="43726.675271412038" createdVersion="5" refreshedVersion="5" minRefreshableVersion="3" recordCount="75">
  <cacheSource type="worksheet">
    <worksheetSource ref="A4:I79" sheet="T23"/>
  </cacheSource>
  <cacheFields count="9">
    <cacheField name="FisYr" numFmtId="0">
      <sharedItems count="5">
        <s v="2014-15"/>
        <s v="2015-16"/>
        <s v="2016-17"/>
        <s v="2017-18"/>
        <s v="2018-19"/>
      </sharedItems>
    </cacheField>
    <cacheField name="FSEC" numFmtId="0">
      <sharedItems count="15">
        <s v="A"/>
        <s v="B"/>
        <s v="C"/>
        <s v="E"/>
        <s v="F"/>
        <s v="H"/>
        <s v="J"/>
        <s v="K"/>
        <s v="L"/>
        <s v="M"/>
        <s v="N"/>
        <s v="P"/>
        <s v="R"/>
        <s v="S"/>
        <s v="T"/>
      </sharedItems>
    </cacheField>
    <cacheField name="PremisesType" numFmtId="0">
      <sharedItems/>
    </cacheField>
    <cacheField name="Total" numFmtId="0">
      <sharedItems containsSemiMixedTypes="0" containsString="0" containsNumber="1" containsInteger="1" minValue="21" maxValue="3062"/>
    </cacheField>
    <cacheField name="H" numFmtId="0">
      <sharedItems containsSemiMixedTypes="0" containsString="0" containsNumber="1" containsInteger="1" minValue="3" maxValue="487"/>
    </cacheField>
    <cacheField name="L" numFmtId="0">
      <sharedItems containsString="0" containsBlank="1" containsNumber="1" containsInteger="1" minValue="1" maxValue="668"/>
    </cacheField>
    <cacheField name="M" numFmtId="0">
      <sharedItems containsSemiMixedTypes="0" containsString="0" containsNumber="1" containsInteger="1" minValue="9" maxValue="2548"/>
    </cacheField>
    <cacheField name="VH" numFmtId="0">
      <sharedItems containsString="0" containsBlank="1" containsNumber="1" containsInteger="1" minValue="1" maxValue="86"/>
    </cacheField>
    <cacheField name="VL" numFmtId="0">
      <sharedItems containsString="0" containsBlank="1" containsNumber="1" containsInteger="1" minValue="1" maxValue="141"/>
    </cacheField>
  </cacheFields>
  <extLst>
    <ext xmlns:x14="http://schemas.microsoft.com/office/spreadsheetml/2009/9/main" uri="{725AE2AE-9491-48be-B2B4-4EB974FC3084}">
      <x14:pivotCacheDefinition pivotCacheId="37"/>
    </ext>
  </extLst>
</pivotCacheDefinition>
</file>

<file path=xl/pivotCache/pivotCacheDefinition25.xml><?xml version="1.0" encoding="utf-8"?>
<pivotCacheDefinition xmlns="http://schemas.openxmlformats.org/spreadsheetml/2006/main" xmlns:r="http://schemas.openxmlformats.org/officeDocument/2006/relationships" r:id="rId1" refreshedBy="Welsh, Gregor" refreshedDate="43726.675271759261" createdVersion="5" refreshedVersion="5" minRefreshableVersion="3" recordCount="32">
  <cacheSource type="worksheet">
    <worksheetSource ref="A4:F36" sheet="T16"/>
  </cacheSource>
  <cacheFields count="6">
    <cacheField name="Local Authority"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LA Code" numFmtId="0">
      <sharedItems/>
    </cacheField>
    <cacheField name="2015-16" numFmtId="0">
      <sharedItems containsString="0" containsBlank="1" containsNumber="1" containsInteger="1" minValue="1" maxValue="16"/>
    </cacheField>
    <cacheField name="2016-17" numFmtId="0">
      <sharedItems containsString="0" containsBlank="1" containsNumber="1" containsInteger="1" minValue="1" maxValue="19"/>
    </cacheField>
    <cacheField name="2017-18" numFmtId="0">
      <sharedItems containsString="0" containsBlank="1" containsNumber="1" containsInteger="1" minValue="1" maxValue="20"/>
    </cacheField>
    <cacheField name="2018-19" numFmtId="0">
      <sharedItems containsString="0" containsBlank="1" containsNumber="1" containsInteger="1" minValue="1" maxValue="23"/>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r:id="rId1" refreshedBy="Welsh, Gregor" refreshedDate="43726.675271990738" createdVersion="5" refreshedVersion="5" minRefreshableVersion="3" recordCount="24">
  <cacheSource type="worksheet">
    <worksheetSource ref="A4:J28" sheet="T2b"/>
  </cacheSource>
  <cacheFields count="10">
    <cacheField name="FinYear" numFmtId="0">
      <sharedItems count="6">
        <s v="2013-14"/>
        <s v="2014-15"/>
        <s v="2015-16"/>
        <s v="2016-17"/>
        <s v="2017-18"/>
        <s v="2018-19"/>
      </sharedItems>
    </cacheField>
    <cacheField name="Type" numFmtId="0">
      <sharedItems count="4">
        <s v="Control"/>
        <s v="RDS"/>
        <s v="Vol"/>
        <s v="WT"/>
      </sharedItems>
    </cacheField>
    <cacheField name="Total" numFmtId="0">
      <sharedItems containsSemiMixedTypes="0" containsString="0" containsNumber="1" containsInteger="1" minValue="165" maxValue="4001"/>
    </cacheField>
    <cacheField name="Area Manager" numFmtId="0">
      <sharedItems containsString="0" containsBlank="1" containsNumber="1" containsInteger="1" minValue="0" maxValue="35"/>
    </cacheField>
    <cacheField name="Brigade Manager" numFmtId="0">
      <sharedItems containsString="0" containsBlank="1" containsNumber="1" containsInteger="1" minValue="0" maxValue="9"/>
    </cacheField>
    <cacheField name="Crew Manager" numFmtId="0">
      <sharedItems containsSemiMixedTypes="0" containsString="0" containsNumber="1" containsInteger="1" minValue="27" maxValue="689"/>
    </cacheField>
    <cacheField name="Firefighter" numFmtId="0">
      <sharedItems containsSemiMixedTypes="0" containsString="0" containsNumber="1" containsInteger="1" minValue="80" maxValue="2374"/>
    </cacheField>
    <cacheField name="Group Manager" numFmtId="0">
      <sharedItems containsString="0" containsBlank="1" containsNumber="1" containsInteger="1" minValue="0" maxValue="115"/>
    </cacheField>
    <cacheField name="Station Manager" numFmtId="0">
      <sharedItems containsString="0" containsBlank="1" containsNumber="1" containsInteger="1" minValue="0" maxValue="153"/>
    </cacheField>
    <cacheField name="Watch Manager" numFmtId="0">
      <sharedItems containsSemiMixedTypes="0" containsString="0" containsNumber="1" containsInteger="1" minValue="9" maxValue="679"/>
    </cacheField>
  </cacheFields>
  <extLst>
    <ext xmlns:x14="http://schemas.microsoft.com/office/spreadsheetml/2009/9/main" uri="{725AE2AE-9491-48be-B2B4-4EB974FC3084}">
      <x14:pivotCacheDefinition pivotCacheId="47"/>
    </ext>
  </extLst>
</pivotCacheDefinition>
</file>

<file path=xl/pivotCache/pivotCacheDefinition27.xml><?xml version="1.0" encoding="utf-8"?>
<pivotCacheDefinition xmlns="http://schemas.openxmlformats.org/spreadsheetml/2006/main" xmlns:r="http://schemas.openxmlformats.org/officeDocument/2006/relationships" r:id="rId1" refreshedBy="Welsh, Gregor" refreshedDate="43726.675272337961" createdVersion="5" refreshedVersion="5" minRefreshableVersion="3" recordCount="111">
  <cacheSource type="worksheet">
    <worksheetSource ref="A4:F115" sheet="T9"/>
  </cacheSource>
  <cacheFields count="6">
    <cacheField name="FinYr" numFmtId="0">
      <sharedItems count="5">
        <s v="2013-14"/>
        <s v="2014-15"/>
        <s v="2015-16"/>
        <s v="2017-18"/>
        <s v="2018-19"/>
      </sharedItems>
    </cacheField>
    <cacheField name="Type" numFmtId="0">
      <sharedItems count="4">
        <s v="Control"/>
        <s v="RDS"/>
        <s v="Support"/>
        <s v="WT"/>
      </sharedItems>
    </cacheField>
    <cacheField name="PostConv" numFmtId="0">
      <sharedItems count="14">
        <s v="Crew Manager"/>
        <s v="Firefighter"/>
        <s v="Group Manager"/>
        <s v="Station Manager"/>
        <s v="Watch Manager"/>
        <s v="Administration"/>
        <s v="Director"/>
        <s v="Professional"/>
        <s v="Service Manager"/>
        <s v="Specialist Technical"/>
        <s v="Team Leader"/>
        <s v="Tech Support"/>
        <s v="Area Manager"/>
        <s v="Brigade Manager"/>
      </sharedItems>
    </cacheField>
    <cacheField name="Total" numFmtId="0">
      <sharedItems containsString="0" containsBlank="1" containsNumber="1" minValue="1" maxValue="2373.7600000000002"/>
    </cacheField>
    <cacheField name="Female" numFmtId="0">
      <sharedItems containsString="0" containsBlank="1" containsNumber="1" minValue="0" maxValue="197.5"/>
    </cacheField>
    <cacheField name="Male" numFmtId="0">
      <sharedItems containsString="0" containsBlank="1" containsNumber="1" minValue="0" maxValue="2267.7600000000002"/>
    </cacheField>
  </cacheFields>
  <extLst>
    <ext xmlns:x14="http://schemas.microsoft.com/office/spreadsheetml/2009/9/main" uri="{725AE2AE-9491-48be-B2B4-4EB974FC3084}">
      <x14:pivotCacheDefinition pivotCacheId="52"/>
    </ext>
  </extLst>
</pivotCacheDefinition>
</file>

<file path=xl/pivotCache/pivotCacheDefinition28.xml><?xml version="1.0" encoding="utf-8"?>
<pivotCacheDefinition xmlns="http://schemas.openxmlformats.org/spreadsheetml/2006/main" xmlns:r="http://schemas.openxmlformats.org/officeDocument/2006/relationships" r:id="rId1" refreshedBy="Welsh, Gregor" refreshedDate="43726.675272685185" createdVersion="5" refreshedVersion="5" minRefreshableVersion="3" recordCount="319">
  <cacheSource type="worksheet">
    <worksheetSource ref="A4:J323" sheet="T3"/>
  </cacheSource>
  <cacheFields count="10">
    <cacheField name="FinYear" numFmtId="0">
      <sharedItems count="6">
        <s v="2013-14"/>
        <s v="2014-15"/>
        <s v="2015-16"/>
        <s v="2016-17"/>
        <s v="2017-18"/>
        <s v="2018-19"/>
      </sharedItems>
    </cacheField>
    <cacheField name="ReportingLevel" numFmtId="0">
      <sharedItems count="4">
        <s v="1:LA"/>
        <s v="2:LSO"/>
        <s v="3:SDA"/>
        <s v="4:National"/>
      </sharedItems>
    </cacheField>
    <cacheField name="Code" numFmtId="0">
      <sharedItems containsBlank="1"/>
    </cacheField>
    <cacheField name="lvl" numFmtId="0">
      <sharedItems count="48">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 v="Aberdeenshire and Moray"/>
        <s v="Argyll and Bute, East Dunbartonshire and West Dunbartonshire"/>
        <s v="East Ayrshire, North Ayrshire and South Ayrshire"/>
        <s v="East Lothian, Midlothian and the Scottish Borders"/>
        <s v="East Renfrewshire, Renfrewshire and Inverclyde"/>
        <s v="Edinburgh City"/>
        <s v="Falkirk and West Lothian"/>
        <s v="Highlands"/>
        <s v="Stirling and Clackmannanshire"/>
        <s v="Western Isles, Orkney and Shetland Islands"/>
        <s v="Dundee, Angus, Perth and Kinross"/>
        <s v="West"/>
        <s v="East"/>
        <s v="North"/>
        <s v="Scotland"/>
        <s v="16:Highland"/>
      </sharedItems>
    </cacheField>
    <cacheField name="Total" numFmtId="0">
      <sharedItems containsSemiMixedTypes="0" containsString="0" containsNumber="1" containsInteger="1" minValue="2" maxValue="717"/>
    </cacheField>
    <cacheField name="Control" numFmtId="0">
      <sharedItems containsString="0" containsBlank="1" containsNumber="1" containsInteger="1" minValue="165" maxValue="230"/>
    </cacheField>
    <cacheField name="RDS" numFmtId="0">
      <sharedItems containsString="0" containsBlank="1" containsNumber="1" containsInteger="1" minValue="0" maxValue="564"/>
    </cacheField>
    <cacheField name="Support" numFmtId="0">
      <sharedItems containsString="0" containsBlank="1" containsNumber="1" containsInteger="1" minValue="102" maxValue="416"/>
    </cacheField>
    <cacheField name="Vol" numFmtId="0">
      <sharedItems containsString="0" containsBlank="1" containsNumber="1" containsInteger="1" minValue="0" maxValue="225"/>
    </cacheField>
    <cacheField name="WT" numFmtId="0">
      <sharedItems containsString="0" containsBlank="1" containsNumber="1" containsInteger="1" minValue="0" maxValue="560"/>
    </cacheField>
  </cacheFields>
  <extLst>
    <ext xmlns:x14="http://schemas.microsoft.com/office/spreadsheetml/2009/9/main" uri="{725AE2AE-9491-48be-B2B4-4EB974FC3084}">
      <x14:pivotCacheDefinition pivotCacheId="69"/>
    </ext>
  </extLst>
</pivotCacheDefinition>
</file>

<file path=xl/pivotCache/pivotCacheDefinition29.xml><?xml version="1.0" encoding="utf-8"?>
<pivotCacheDefinition xmlns="http://schemas.openxmlformats.org/spreadsheetml/2006/main" xmlns:r="http://schemas.openxmlformats.org/officeDocument/2006/relationships" r:id="rId1" refreshedBy="Welsh, Gregor" refreshedDate="43727.675651041667" createdVersion="5" refreshedVersion="5" minRefreshableVersion="3" recordCount="24">
  <cacheSource type="worksheet">
    <worksheetSource ref="A4:L28" sheet="T4d"/>
  </cacheSource>
  <cacheFields count="12">
    <cacheField name="FinYr" numFmtId="0">
      <sharedItems count="6">
        <s v="2013-14"/>
        <s v="2014-15"/>
        <s v="2015-16"/>
        <s v="2016-17"/>
        <s v="2017-18"/>
        <s v="2018-19"/>
      </sharedItems>
    </cacheField>
    <cacheField name="ReportingLevel" numFmtId="0">
      <sharedItems count="2">
        <s v="3:SDA"/>
        <s v="4:National"/>
      </sharedItems>
    </cacheField>
    <cacheField name="Code" numFmtId="0">
      <sharedItems/>
    </cacheField>
    <cacheField name="lvl" numFmtId="0">
      <sharedItems count="4">
        <s v="West"/>
        <s v="East"/>
        <s v="North"/>
        <s v="Scotland"/>
      </sharedItems>
    </cacheField>
    <cacheField name="Total" numFmtId="0">
      <sharedItems containsSemiMixedTypes="0" containsString="0" containsNumber="1" containsInteger="1" minValue="102" maxValue="416"/>
    </cacheField>
    <cacheField name="Director" numFmtId="0">
      <sharedItems containsString="0" containsBlank="1" containsNumber="1" containsInteger="1" minValue="2" maxValue="3"/>
    </cacheField>
    <cacheField name="Service Manager" numFmtId="0">
      <sharedItems containsSemiMixedTypes="0" containsString="0" containsNumber="1" containsInteger="1" minValue="2" maxValue="56"/>
    </cacheField>
    <cacheField name="Team Leader" numFmtId="0">
      <sharedItems containsSemiMixedTypes="0" containsString="0" containsNumber="1" containsInteger="1" minValue="2" maxValue="13"/>
    </cacheField>
    <cacheField name="Professional" numFmtId="0">
      <sharedItems containsSemiMixedTypes="0" containsString="0" containsNumber="1" containsInteger="1" minValue="6" maxValue="47"/>
    </cacheField>
    <cacheField name="Specialist Technical" numFmtId="0">
      <sharedItems containsSemiMixedTypes="0" containsString="0" containsNumber="1" containsInteger="1" minValue="35" maxValue="134"/>
    </cacheField>
    <cacheField name="Tech Support" numFmtId="0">
      <sharedItems containsSemiMixedTypes="0" containsString="0" containsNumber="1" containsInteger="1" minValue="0" maxValue="149"/>
    </cacheField>
    <cacheField name="Administration" numFmtId="0">
      <sharedItems containsSemiMixedTypes="0" containsString="0" containsNumber="1" containsInteger="1" minValue="12" maxValue="144"/>
    </cacheField>
  </cacheFields>
  <extLst>
    <ext xmlns:x14="http://schemas.microsoft.com/office/spreadsheetml/2009/9/main" uri="{725AE2AE-9491-48be-B2B4-4EB974FC3084}">
      <x14:pivotCacheDefinition pivotCacheId="7"/>
    </ext>
  </extLst>
</pivotCacheDefinition>
</file>

<file path=xl/pivotCache/pivotCacheDefinition3.xml><?xml version="1.0" encoding="utf-8"?>
<pivotCacheDefinition xmlns="http://schemas.openxmlformats.org/spreadsheetml/2006/main" xmlns:r="http://schemas.openxmlformats.org/officeDocument/2006/relationships" r:id="rId1" refreshedBy="Welsh, Gregor" refreshedDate="43726.675262615739" createdVersion="5" refreshedVersion="5" minRefreshableVersion="3" recordCount="9">
  <cacheSource type="worksheet">
    <worksheetSource ref="A4:H13" sheet="T15i"/>
  </cacheSource>
  <cacheFields count="8">
    <cacheField name="Injuries" numFmtId="0">
      <sharedItems count="1">
        <s v="Yes"/>
      </sharedItems>
    </cacheField>
    <cacheField name="Op" numFmtId="0">
      <sharedItems count="2">
        <s v="Operational"/>
        <s v="Non-Operational"/>
      </sharedItems>
    </cacheField>
    <cacheField name="FinYear" numFmtId="0">
      <sharedItems count="8">
        <s v="2011-12"/>
        <s v="2012-13"/>
        <s v="2013-14"/>
        <s v="2014-15"/>
        <s v="2015-16"/>
        <s v="2016-17"/>
        <s v="2017-18"/>
        <s v="2018-19"/>
      </sharedItems>
    </cacheField>
    <cacheField name="Objects thrown at firefighters/appliances" numFmtId="0">
      <sharedItems containsString="0" containsBlank="1" containsNumber="1" containsInteger="1" minValue="0" maxValue="3"/>
    </cacheField>
    <cacheField name="Physical abuse" numFmtId="0">
      <sharedItems containsString="0" containsBlank="1" containsNumber="1" containsInteger="1" minValue="0" maxValue="4"/>
    </cacheField>
    <cacheField name="Verbal abuse" numFmtId="0">
      <sharedItems containsString="0" containsBlank="1" containsNumber="1" containsInteger="1" minValue="0" maxValue="1"/>
    </cacheField>
    <cacheField name="Other acts of aggression" numFmtId="0">
      <sharedItems containsString="0" containsBlank="1" containsNumber="1" containsInteger="1" minValue="0" maxValue="2"/>
    </cacheField>
    <cacheField name="Total" numFmtId="0">
      <sharedItems containsSemiMixedTypes="0" containsString="0" containsNumber="1" containsInteger="1" minValue="1" maxValue="7"/>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r:id="rId1" refreshedBy="Welsh, Gregor" refreshedDate="43727.700236226854" createdVersion="5" refreshedVersion="5" minRefreshableVersion="3" recordCount="336">
  <cacheSource type="worksheet">
    <worksheetSource ref="A4:L340" sheet="T5a"/>
  </cacheSource>
  <cacheFields count="12">
    <cacheField name="FinYr" numFmtId="0">
      <sharedItems count="6">
        <s v="2013-14"/>
        <s v="2014-15"/>
        <s v="2015-16"/>
        <s v="2016-17"/>
        <s v="2017-18"/>
        <s v="2018-19"/>
      </sharedItems>
    </cacheField>
    <cacheField name="ReportingLevel" numFmtId="0">
      <sharedItems count="6">
        <s v="1:LA"/>
        <s v="2:LSO"/>
        <s v="3:SDA"/>
        <s v="4:National"/>
        <s v="Total"/>
        <s v="4:SDA"/>
      </sharedItems>
    </cacheField>
    <cacheField name="Code" numFmtId="0">
      <sharedItems containsNonDate="0" containsString="0" containsBlank="1"/>
    </cacheField>
    <cacheField name="lvl" numFmtId="0">
      <sharedItems count="49">
        <s v="ALL"/>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 v="Aberdeenshire and Moray"/>
        <s v="Argyll and Bute, East Dunbartonshire and West Dunbartonshire"/>
        <s v="East Ayrshire, North Ayrshire and South Ayrshire"/>
        <s v="East Lothian, Midlothian and the Scottish Borders"/>
        <s v="East Renfrewshire, Renfrewshire and Inverclyde"/>
        <s v="Edinburgh City"/>
        <s v="Falkirk and West Lothian"/>
        <s v="Highlands"/>
        <s v="Stirling and Clackmannanshire"/>
        <s v="Western Isles, Orkney and Shetland Islands"/>
        <s v="Dundee, Angus, Perth and Kinross"/>
        <s v="West"/>
        <s v="East"/>
        <s v="North"/>
        <s v="Scotland"/>
        <s v="16:Highland" u="1"/>
      </sharedItems>
    </cacheField>
    <cacheField name="Total" numFmtId="0">
      <sharedItems containsString="0" containsBlank="1" containsNumber="1" minValue="0" maxValue="4000.76"/>
    </cacheField>
    <cacheField name="Area Manager" numFmtId="0">
      <sharedItems containsString="0" containsBlank="1" containsNumber="1" containsInteger="1" minValue="0" maxValue="35"/>
    </cacheField>
    <cacheField name="Brigade Manager" numFmtId="0">
      <sharedItems containsString="0" containsBlank="1" containsNumber="1" containsInteger="1" minValue="0" maxValue="10"/>
    </cacheField>
    <cacheField name="Crew Manager" numFmtId="0">
      <sharedItems containsString="0" containsBlank="1" containsNumber="1" minValue="0" maxValue="689"/>
    </cacheField>
    <cacheField name="Firefighter" numFmtId="0">
      <sharedItems containsString="0" containsBlank="1" containsNumber="1" minValue="0" maxValue="2373.7600000000002"/>
    </cacheField>
    <cacheField name="Group Manager" numFmtId="0">
      <sharedItems containsString="0" containsBlank="1" containsNumber="1" containsInteger="1" minValue="0" maxValue="115"/>
    </cacheField>
    <cacheField name="Station Manager" numFmtId="0">
      <sharedItems containsString="0" containsBlank="1" containsNumber="1" containsInteger="1" minValue="0" maxValue="153"/>
    </cacheField>
    <cacheField name="Watch Manager" numFmtId="0">
      <sharedItems containsString="0" containsBlank="1" containsNumber="1" minValue="0" maxValue="679"/>
    </cacheField>
  </cacheFields>
  <extLst>
    <ext xmlns:x14="http://schemas.microsoft.com/office/spreadsheetml/2009/9/main" uri="{725AE2AE-9491-48be-B2B4-4EB974FC3084}">
      <x14:pivotCacheDefinition pivotCacheId="71"/>
    </ext>
  </extLst>
</pivotCacheDefinition>
</file>

<file path=xl/pivotCache/pivotCacheDefinition31.xml><?xml version="1.0" encoding="utf-8"?>
<pivotCacheDefinition xmlns="http://schemas.openxmlformats.org/spreadsheetml/2006/main" xmlns:r="http://schemas.openxmlformats.org/officeDocument/2006/relationships" r:id="rId1" refreshedBy="Welsh, Gregor" refreshedDate="43728.422415856483" createdVersion="5" refreshedVersion="5" minRefreshableVersion="3" recordCount="192">
  <cacheSource type="worksheet">
    <worksheetSource ref="A4:H196" sheet="T5b"/>
  </cacheSource>
  <cacheFields count="8">
    <cacheField name="FinYr" numFmtId="0">
      <sharedItems count="6">
        <s v="2013-14"/>
        <s v="2014-15"/>
        <s v="2015-16"/>
        <s v="2016-17"/>
        <s v="2017-18"/>
        <s v="2018-19"/>
      </sharedItems>
    </cacheField>
    <cacheField name="ReportingLevel" numFmtId="0">
      <sharedItems count="1">
        <s v="1:LA"/>
      </sharedItems>
    </cacheField>
    <cacheField name="Code" numFmtId="0">
      <sharedItems containsNonDate="0" containsString="0" containsBlank="1"/>
    </cacheField>
    <cacheField name="lvl" numFmtId="0">
      <sharedItems containsBlank="1" count="66">
        <s v="ALL"/>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m u="1"/>
        <s v="S12000008" u="1"/>
        <s v="S12000039" u="1"/>
        <s v="S12000038" u="1"/>
        <s v="S12000006" u="1"/>
        <s v="S12000005" u="1"/>
        <s v="S12000036" u="1"/>
        <s v="S12000035" u="1"/>
        <s v="S12000034" u="1"/>
        <s v="S12000033" u="1"/>
        <s v="S12000030" u="1"/>
        <s v="S12000019" u="1"/>
        <s v="S12000018" u="1"/>
        <s v="S12000017" u="1"/>
        <s v="S12000047" u="1"/>
        <s v="S12000046" u="1"/>
        <s v="S12000014" u="1"/>
        <s v="S12000045" u="1"/>
        <s v="S12000013" u="1"/>
        <s v="S12000044" u="1"/>
        <s v="S12000011" u="1"/>
        <s v="S12000042" u="1"/>
        <s v="S12000010" u="1"/>
        <s v="S12000041" u="1"/>
        <s v="S12000040" u="1"/>
        <s v="S12000029" u="1"/>
        <s v="S12000028" u="1"/>
        <s v="S12000027" u="1"/>
        <s v="S12000026" u="1"/>
        <s v="S12000024" u="1"/>
        <s v="S12000023" u="1"/>
        <s v="S12000021" u="1"/>
        <s v="S12000020" u="1"/>
      </sharedItems>
    </cacheField>
    <cacheField name="Total" numFmtId="0">
      <sharedItems containsString="0" containsBlank="1" containsNumber="1" minValue="0" maxValue="2668.5"/>
    </cacheField>
    <cacheField name="Watch Manager" numFmtId="0">
      <sharedItems containsString="0" containsBlank="1" containsNumber="1" minValue="0" maxValue="268"/>
    </cacheField>
    <cacheField name="Crew Manager" numFmtId="0">
      <sharedItems containsString="0" containsBlank="1" containsNumber="1" minValue="0" maxValue="499"/>
    </cacheField>
    <cacheField name="Firefighter" numFmtId="0">
      <sharedItems containsString="0" containsBlank="1" containsNumber="1" minValue="0" maxValue="1913.55"/>
    </cacheField>
  </cacheFields>
  <extLst>
    <ext xmlns:x14="http://schemas.microsoft.com/office/spreadsheetml/2009/9/main" uri="{725AE2AE-9491-48be-B2B4-4EB974FC3084}">
      <x14:pivotCacheDefinition pivotCacheId="58"/>
    </ext>
  </extLst>
</pivotCacheDefinition>
</file>

<file path=xl/pivotCache/pivotCacheDefinition32.xml><?xml version="1.0" encoding="utf-8"?>
<pivotCacheDefinition xmlns="http://schemas.openxmlformats.org/spreadsheetml/2006/main" xmlns:r="http://schemas.openxmlformats.org/officeDocument/2006/relationships" r:id="rId1" refreshedBy="Welsh, Gregor" refreshedDate="43728.452062847224" createdVersion="5" refreshedVersion="5" minRefreshableVersion="3" recordCount="6">
  <cacheSource type="worksheet">
    <worksheetSource ref="A4:K10" sheet="T5c"/>
  </cacheSource>
  <cacheFields count="11">
    <cacheField name="FinYr" numFmtId="0">
      <sharedItems count="6">
        <s v="2013-14"/>
        <s v="2014-15"/>
        <s v="2015-16"/>
        <s v="2016-17"/>
        <s v="2017-18"/>
        <s v="2018-19"/>
      </sharedItems>
    </cacheField>
    <cacheField name="ReportingLevel" numFmtId="0">
      <sharedItems count="1">
        <s v="4:National"/>
      </sharedItems>
    </cacheField>
    <cacheField name="lvl" numFmtId="0">
      <sharedItems count="1">
        <s v="Scotland"/>
      </sharedItems>
    </cacheField>
    <cacheField name="Code" numFmtId="0">
      <sharedItems/>
    </cacheField>
    <cacheField name="Total" numFmtId="0">
      <sharedItems containsSemiMixedTypes="0" containsString="0" containsNumber="1" minValue="160" maxValue="220.79"/>
    </cacheField>
    <cacheField name="Area Manager" numFmtId="0">
      <sharedItems containsString="0" containsBlank="1" containsNumber="1" containsInteger="1" minValue="1" maxValue="1"/>
    </cacheField>
    <cacheField name="Group Manager" numFmtId="0">
      <sharedItems containsSemiMixedTypes="0" containsString="0" containsNumber="1" containsInteger="1" minValue="4" maxValue="6"/>
    </cacheField>
    <cacheField name="Station Manager" numFmtId="0">
      <sharedItems containsSemiMixedTypes="0" containsString="0" containsNumber="1" minValue="6.8333333333333339" maxValue="12.85"/>
    </cacheField>
    <cacheField name="Watch Manager" numFmtId="0">
      <sharedItems containsSemiMixedTypes="0" containsString="0" containsNumber="1" minValue="40" maxValue="51.56"/>
    </cacheField>
    <cacheField name="Crew Manager" numFmtId="0">
      <sharedItems containsSemiMixedTypes="0" containsString="0" containsNumber="1" minValue="27" maxValue="51.01"/>
    </cacheField>
    <cacheField name="Control Operator" numFmtId="0">
      <sharedItems containsSemiMixedTypes="0" containsString="0" containsNumber="1" minValue="76" maxValue="119"/>
    </cacheField>
  </cacheFields>
  <extLst>
    <ext xmlns:x14="http://schemas.microsoft.com/office/spreadsheetml/2009/9/main" uri="{725AE2AE-9491-48be-B2B4-4EB974FC3084}">
      <x14:pivotCacheDefinition pivotCacheId="10"/>
    </ext>
  </extLst>
</pivotCacheDefinition>
</file>

<file path=xl/pivotCache/pivotCacheDefinition33.xml><?xml version="1.0" encoding="utf-8"?>
<pivotCacheDefinition xmlns="http://schemas.openxmlformats.org/spreadsheetml/2006/main" xmlns:r="http://schemas.openxmlformats.org/officeDocument/2006/relationships" r:id="rId1" refreshedBy="Welsh, Gregor" refreshedDate="43728.476799421296" createdVersion="5" refreshedVersion="5" minRefreshableVersion="3" recordCount="36">
  <cacheSource type="worksheet">
    <worksheetSource ref="A4:L40" sheet="T5d"/>
  </cacheSource>
  <cacheFields count="12">
    <cacheField name="FinYr" numFmtId="0">
      <sharedItems count="6">
        <s v="2013-14"/>
        <s v="2014-15"/>
        <s v="2015-16"/>
        <s v="2016-17"/>
        <s v="2017-18"/>
        <s v="2018-19"/>
      </sharedItems>
    </cacheField>
    <cacheField name="ReportingLevel" numFmtId="0">
      <sharedItems count="3">
        <s v="3:SDA"/>
        <s v="4:National"/>
        <s v="Total"/>
      </sharedItems>
    </cacheField>
    <cacheField name="Code" numFmtId="0">
      <sharedItems containsNonDate="0" containsString="0" containsBlank="1"/>
    </cacheField>
    <cacheField name="lvl" numFmtId="0">
      <sharedItems count="5">
        <s v="ALL"/>
        <s v="West"/>
        <s v="East"/>
        <s v="North"/>
        <s v="Scotland"/>
      </sharedItems>
    </cacheField>
    <cacheField name="Total" numFmtId="0">
      <sharedItems containsSemiMixedTypes="0" containsString="0" containsNumber="1" minValue="95.721428571428561" maxValue="811.3"/>
    </cacheField>
    <cacheField name="Director" numFmtId="0">
      <sharedItems containsString="0" containsBlank="1" containsNumber="1" containsInteger="1" minValue="2" maxValue="3"/>
    </cacheField>
    <cacheField name="Service Manager" numFmtId="0">
      <sharedItems containsSemiMixedTypes="0" containsString="0" containsNumber="1" minValue="2" maxValue="69.7"/>
    </cacheField>
    <cacheField name="Team Leader" numFmtId="0">
      <sharedItems containsSemiMixedTypes="0" containsString="0" containsNumber="1" minValue="2" maxValue="35.9"/>
    </cacheField>
    <cacheField name="Professional" numFmtId="0">
      <sharedItems containsSemiMixedTypes="0" containsString="0" containsNumber="1" minValue="5.8" maxValue="80"/>
    </cacheField>
    <cacheField name="Specialist Technical" numFmtId="0">
      <sharedItems containsSemiMixedTypes="0" containsString="0" containsNumber="1" minValue="33.935714285714283" maxValue="376"/>
    </cacheField>
    <cacheField name="Tech Support" numFmtId="0">
      <sharedItems containsSemiMixedTypes="0" containsString="0" containsNumber="1" minValue="0" maxValue="199.5"/>
    </cacheField>
    <cacheField name="Administration" numFmtId="0">
      <sharedItems containsSemiMixedTypes="0" containsString="0" containsNumber="1" minValue="10.092857142857142" maxValue="223.6"/>
    </cacheField>
  </cacheFields>
  <extLst>
    <ext xmlns:x14="http://schemas.microsoft.com/office/spreadsheetml/2009/9/main" uri="{725AE2AE-9491-48be-B2B4-4EB974FC3084}">
      <x14:pivotCacheDefinition pivotCacheId="11"/>
    </ext>
  </extLst>
</pivotCacheDefinition>
</file>

<file path=xl/pivotCache/pivotCacheDefinition4.xml><?xml version="1.0" encoding="utf-8"?>
<pivotCacheDefinition xmlns="http://schemas.openxmlformats.org/spreadsheetml/2006/main" xmlns:r="http://schemas.openxmlformats.org/officeDocument/2006/relationships" r:id="rId1" refreshedBy="Welsh, Gregor" refreshedDate="43726.675262731478" createdVersion="5" refreshedVersion="5" minRefreshableVersion="3" recordCount="13">
  <cacheSource type="worksheet">
    <worksheetSource ref="A4:H25" sheet="T15"/>
  </cacheSource>
  <cacheFields count="8">
    <cacheField name="Injuries" numFmtId="0">
      <sharedItems containsBlank="1" count="3">
        <s v="All"/>
        <m/>
        <s v="Yes" u="1"/>
      </sharedItems>
    </cacheField>
    <cacheField name="Op" numFmtId="0">
      <sharedItems containsBlank="1" count="3">
        <s v="Operational"/>
        <s v="Non-Operational"/>
        <m/>
      </sharedItems>
    </cacheField>
    <cacheField name="FinYear" numFmtId="0">
      <sharedItems containsBlank="1" count="9">
        <s v="2011-12"/>
        <s v="2012-13"/>
        <s v="2013-14"/>
        <s v="2014-15"/>
        <s v="2015-16"/>
        <s v="2016-17"/>
        <s v="2017-18"/>
        <s v="2018-19"/>
        <m/>
      </sharedItems>
    </cacheField>
    <cacheField name="Objects thrown at firefighters/appliances" numFmtId="0">
      <sharedItems containsString="0" containsBlank="1" containsNumber="1" containsInteger="1" minValue="2" maxValue="49"/>
    </cacheField>
    <cacheField name="Physical abuse" numFmtId="0">
      <sharedItems containsString="0" containsBlank="1" containsNumber="1" containsInteger="1" minValue="2" maxValue="13"/>
    </cacheField>
    <cacheField name="Verbal abuse" numFmtId="0">
      <sharedItems containsString="0" containsBlank="1" containsNumber="1" containsInteger="1" minValue="3" maxValue="37"/>
    </cacheField>
    <cacheField name="Other acts of aggression" numFmtId="0">
      <sharedItems containsString="0" containsBlank="1" containsNumber="1" containsInteger="1" minValue="1" maxValue="15"/>
    </cacheField>
    <cacheField name="Total" numFmtId="0">
      <sharedItems containsString="0" containsBlank="1" containsNumber="1" containsInteger="1" minValue="5" maxValue="10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Welsh, Gregor" refreshedDate="43726.675262962963" createdVersion="5" refreshedVersion="5" minRefreshableVersion="3" recordCount="24">
  <cacheSource type="worksheet">
    <worksheetSource ref="A4:H28" sheet="T2"/>
  </cacheSource>
  <cacheFields count="8">
    <cacheField name="FinYear" numFmtId="0">
      <sharedItems count="6">
        <s v="2013-14"/>
        <s v="2014-15"/>
        <s v="2015-16"/>
        <s v="2016-17"/>
        <s v="2017-18"/>
        <s v="2018-19"/>
      </sharedItems>
    </cacheField>
    <cacheField name="ReportingLevel" numFmtId="0">
      <sharedItems count="4">
        <s v="1:LA"/>
        <s v="2:LSO"/>
        <s v="3:SDA"/>
        <s v="4:National"/>
      </sharedItems>
    </cacheField>
    <cacheField name="Total" numFmtId="0">
      <sharedItems containsSemiMixedTypes="0" containsString="0" containsNumber="1" containsInteger="1" minValue="270" maxValue="6691"/>
    </cacheField>
    <cacheField name="Control" numFmtId="0">
      <sharedItems containsString="0" containsBlank="1" containsNumber="1" containsInteger="1" minValue="165" maxValue="230"/>
    </cacheField>
    <cacheField name="RDS" numFmtId="0">
      <sharedItems containsString="0" containsBlank="1" containsNumber="1" containsInteger="1" minValue="2863" maxValue="2953"/>
    </cacheField>
    <cacheField name="Support" numFmtId="0">
      <sharedItems containsString="0" containsBlank="1" containsNumber="1" containsInteger="1" minValue="237" maxValue="724"/>
    </cacheField>
    <cacheField name="Vol" numFmtId="0">
      <sharedItems containsString="0" containsBlank="1" containsNumber="1" containsInteger="1" minValue="316" maxValue="378"/>
    </cacheField>
    <cacheField name="WT" numFmtId="0">
      <sharedItems containsSemiMixedTypes="0" containsString="0" containsNumber="1" containsInteger="1" minValue="50" maxValue="3392"/>
    </cacheField>
  </cacheFields>
  <extLst>
    <ext xmlns:x14="http://schemas.microsoft.com/office/spreadsheetml/2009/9/main" uri="{725AE2AE-9491-48be-B2B4-4EB974FC3084}">
      <x14:pivotCacheDefinition pivotCacheId="1"/>
    </ext>
  </extLst>
</pivotCacheDefinition>
</file>

<file path=xl/pivotCache/pivotCacheDefinition6.xml><?xml version="1.0" encoding="utf-8"?>
<pivotCacheDefinition xmlns="http://schemas.openxmlformats.org/spreadsheetml/2006/main" xmlns:r="http://schemas.openxmlformats.org/officeDocument/2006/relationships" r:id="rId1" refreshedBy="Welsh, Gregor" refreshedDate="43726.675263194447" createdVersion="5" refreshedVersion="5" minRefreshableVersion="3" recordCount="24">
  <cacheSource type="worksheet">
    <worksheetSource ref="A4:J28" sheet="T2a"/>
  </cacheSource>
  <cacheFields count="10">
    <cacheField name="FinYear" numFmtId="0">
      <sharedItems count="6">
        <s v="2013-14"/>
        <s v="2014-15"/>
        <s v="2015-16"/>
        <s v="2016-17"/>
        <s v="2017-18"/>
        <s v="2018-19"/>
      </sharedItems>
    </cacheField>
    <cacheField name="ReportingLevel" numFmtId="0">
      <sharedItems count="4">
        <s v="1:LA"/>
        <s v="2:LSO"/>
        <s v="3:SDA"/>
        <s v="4:National"/>
      </sharedItems>
    </cacheField>
    <cacheField name="Total" numFmtId="0">
      <sharedItems containsSemiMixedTypes="0" containsString="0" containsNumber="1" containsInteger="1" minValue="50" maxValue="3392"/>
    </cacheField>
    <cacheField name="Area Manager" numFmtId="0">
      <sharedItems containsString="0" containsBlank="1" containsNumber="1" containsInteger="1" minValue="3" maxValue="18"/>
    </cacheField>
    <cacheField name="Brigade Manager" numFmtId="0">
      <sharedItems containsString="0" containsBlank="1" containsNumber="1" containsInteger="1" minValue="3" maxValue="7"/>
    </cacheField>
    <cacheField name="Crew Manager" numFmtId="0">
      <sharedItems containsString="0" containsBlank="1" containsNumber="1" containsInteger="1" minValue="4" maxValue="608"/>
    </cacheField>
    <cacheField name="Firefighter" numFmtId="0">
      <sharedItems containsString="0" containsBlank="1" containsNumber="1" containsInteger="1" minValue="1" maxValue="2355"/>
    </cacheField>
    <cacheField name="Group Manager" numFmtId="0">
      <sharedItems containsString="0" containsBlank="1" containsNumber="1" containsInteger="1" minValue="9" maxValue="69"/>
    </cacheField>
    <cacheField name="Station Manager" numFmtId="0">
      <sharedItems containsString="0" containsBlank="1" containsNumber="1" containsInteger="1" minValue="1" maxValue="116"/>
    </cacheField>
    <cacheField name="Watch Manager" numFmtId="0">
      <sharedItems containsSemiMixedTypes="0" containsString="0" containsNumber="1" containsInteger="1" minValue="11" maxValue="416"/>
    </cacheField>
  </cacheFields>
  <extLst>
    <ext xmlns:x14="http://schemas.microsoft.com/office/spreadsheetml/2009/9/main" uri="{725AE2AE-9491-48be-B2B4-4EB974FC3084}">
      <x14:pivotCacheDefinition pivotCacheId="2"/>
    </ext>
  </extLst>
</pivotCacheDefinition>
</file>

<file path=xl/pivotCache/pivotCacheDefinition7.xml><?xml version="1.0" encoding="utf-8"?>
<pivotCacheDefinition xmlns="http://schemas.openxmlformats.org/spreadsheetml/2006/main" xmlns:r="http://schemas.openxmlformats.org/officeDocument/2006/relationships" r:id="rId1" refreshedBy="Welsh, Gregor" refreshedDate="43726.675263657409" createdVersion="5" refreshedVersion="5" minRefreshableVersion="3" recordCount="186">
  <cacheSource type="worksheet">
    <worksheetSource ref="A4:H190" sheet="T4b"/>
  </cacheSource>
  <cacheFields count="8">
    <cacheField name="FinYr" numFmtId="0">
      <sharedItems count="6">
        <s v="2013-14"/>
        <s v="2014-15"/>
        <s v="2015-16"/>
        <s v="2016-17"/>
        <s v="2017-18"/>
        <s v="2018-19"/>
      </sharedItems>
    </cacheField>
    <cacheField name="ReportingLevel" numFmtId="0">
      <sharedItems count="1">
        <s v="1:LA"/>
      </sharedItems>
    </cacheField>
    <cacheField name="Code" numFmtId="0">
      <sharedItems/>
    </cacheField>
    <cacheField name="lvl" numFmtId="0">
      <sharedItems count="32">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haredItems>
    </cacheField>
    <cacheField name="Total" numFmtId="0">
      <sharedItems containsSemiMixedTypes="0" containsString="0" containsNumber="1" containsInteger="1" minValue="0" maxValue="564"/>
    </cacheField>
    <cacheField name="Watch Manager" numFmtId="0">
      <sharedItems containsString="0" containsBlank="1" containsNumber="1" containsInteger="1" minValue="0" maxValue="60"/>
    </cacheField>
    <cacheField name="Crew Manager" numFmtId="0">
      <sharedItems containsSemiMixedTypes="0" containsString="0" containsNumber="1" containsInteger="1" minValue="0" maxValue="115"/>
    </cacheField>
    <cacheField name="Firefighter" numFmtId="0">
      <sharedItems containsSemiMixedTypes="0" containsString="0" containsNumber="1" containsInteger="1" minValue="0" maxValue="394"/>
    </cacheField>
  </cacheFields>
  <extLst>
    <ext xmlns:x14="http://schemas.microsoft.com/office/spreadsheetml/2009/9/main" uri="{725AE2AE-9491-48be-B2B4-4EB974FC3084}">
      <x14:pivotCacheDefinition pivotCacheId="5"/>
    </ext>
  </extLst>
</pivotCacheDefinition>
</file>

<file path=xl/pivotCache/pivotCacheDefinition8.xml><?xml version="1.0" encoding="utf-8"?>
<pivotCacheDefinition xmlns="http://schemas.openxmlformats.org/spreadsheetml/2006/main" xmlns:r="http://schemas.openxmlformats.org/officeDocument/2006/relationships" r:id="rId1" refreshedBy="Welsh, Gregor" refreshedDate="43726.675264351848" createdVersion="5" refreshedVersion="5" minRefreshableVersion="3" recordCount="6">
  <cacheSource type="worksheet">
    <worksheetSource ref="A4:K10" sheet="T4c"/>
  </cacheSource>
  <cacheFields count="11">
    <cacheField name="FinYr" numFmtId="0">
      <sharedItems count="6">
        <s v="2013-14"/>
        <s v="2014-15"/>
        <s v="2015-16"/>
        <s v="2016-17"/>
        <s v="2017-18"/>
        <s v="2018-19"/>
      </sharedItems>
    </cacheField>
    <cacheField name="ReportingLevel" numFmtId="0">
      <sharedItems count="1">
        <s v="4:National"/>
      </sharedItems>
    </cacheField>
    <cacheField name="lvl" numFmtId="0">
      <sharedItems count="1">
        <s v="Scotland"/>
      </sharedItems>
    </cacheField>
    <cacheField name="Code" numFmtId="0">
      <sharedItems/>
    </cacheField>
    <cacheField name="Total" numFmtId="0">
      <sharedItems containsSemiMixedTypes="0" containsString="0" containsNumber="1" containsInteger="1" minValue="165" maxValue="230"/>
    </cacheField>
    <cacheField name="Area Manager" numFmtId="0">
      <sharedItems containsSemiMixedTypes="0" containsString="0" containsNumber="1" containsInteger="1" minValue="0" maxValue="1"/>
    </cacheField>
    <cacheField name="Group Manager" numFmtId="0">
      <sharedItems containsSemiMixedTypes="0" containsString="0" containsNumber="1" containsInteger="1" minValue="4" maxValue="6"/>
    </cacheField>
    <cacheField name="Station Manager" numFmtId="0">
      <sharedItems containsSemiMixedTypes="0" containsString="0" containsNumber="1" containsInteger="1" minValue="7" maxValue="13"/>
    </cacheField>
    <cacheField name="Watch Manager" numFmtId="0">
      <sharedItems containsSemiMixedTypes="0" containsString="0" containsNumber="1" containsInteger="1" minValue="41" maxValue="52"/>
    </cacheField>
    <cacheField name="Crew Manager" numFmtId="0">
      <sharedItems containsSemiMixedTypes="0" containsString="0" containsNumber="1" containsInteger="1" minValue="27" maxValue="52"/>
    </cacheField>
    <cacheField name="Control Operator" numFmtId="0">
      <sharedItems containsSemiMixedTypes="0" containsString="0" containsNumber="1" containsInteger="1" minValue="80" maxValue="124"/>
    </cacheField>
  </cacheFields>
  <extLst>
    <ext xmlns:x14="http://schemas.microsoft.com/office/spreadsheetml/2009/9/main" uri="{725AE2AE-9491-48be-B2B4-4EB974FC3084}">
      <x14:pivotCacheDefinition pivotCacheId="6"/>
    </ext>
  </extLst>
</pivotCacheDefinition>
</file>

<file path=xl/pivotCache/pivotCacheDefinition9.xml><?xml version="1.0" encoding="utf-8"?>
<pivotCacheDefinition xmlns="http://schemas.openxmlformats.org/spreadsheetml/2006/main" xmlns:r="http://schemas.openxmlformats.org/officeDocument/2006/relationships" r:id="rId1" refreshedBy="Welsh, Gregor" refreshedDate="43726.675266319442" createdVersion="5" refreshedVersion="5" minRefreshableVersion="3" recordCount="151">
  <cacheSource type="worksheet">
    <worksheetSource ref="A4:F155" sheet="T7"/>
  </cacheSource>
  <cacheFields count="6">
    <cacheField name="FinYr" numFmtId="0">
      <sharedItems count="6">
        <s v="2013-14"/>
        <s v="2014-15"/>
        <s v="2015-16"/>
        <s v="2016-17"/>
        <s v="2017-18"/>
        <s v="2018-19"/>
      </sharedItems>
    </cacheField>
    <cacheField name="Type" numFmtId="0">
      <sharedItems count="5">
        <s v="Control"/>
        <s v="RDS"/>
        <s v="Support"/>
        <s v="Vol"/>
        <s v="WT"/>
      </sharedItems>
    </cacheField>
    <cacheField name="PostConv" numFmtId="0">
      <sharedItems count="16">
        <s v="Crew Manager"/>
        <s v="Firefighter"/>
        <s v="Group Manager"/>
        <s v="Station Manager"/>
        <s v="Watch Manager"/>
        <s v="Administration"/>
        <s v="Director"/>
        <s v="Professional"/>
        <s v="Service Manager"/>
        <s v="Specialist Technical"/>
        <s v="Team Leader"/>
        <s v="Technical Support"/>
        <s v="Area Manager"/>
        <s v="Brigade Manager"/>
        <s v="Tech Support"/>
        <s v="Control Operator" u="1"/>
      </sharedItems>
    </cacheField>
    <cacheField name="Total" numFmtId="0">
      <sharedItems containsSemiMixedTypes="0" containsString="0" containsNumber="1" containsInteger="1" minValue="0" maxValue="2374"/>
    </cacheField>
    <cacheField name="Female" numFmtId="0">
      <sharedItems containsString="0" containsBlank="1" containsNumber="1" containsInteger="1" minValue="0" maxValue="248"/>
    </cacheField>
    <cacheField name="Male" numFmtId="0">
      <sharedItems containsString="0" containsBlank="1" containsNumber="1" containsInteger="1" minValue="0" maxValue="2268"/>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count="312">
  <r>
    <x v="0"/>
    <x v="0"/>
    <s v="S12000005"/>
    <x v="0"/>
    <n v="43"/>
    <m/>
    <m/>
    <n v="9"/>
    <n v="30"/>
    <m/>
    <n v="0"/>
    <n v="4"/>
  </r>
  <r>
    <x v="0"/>
    <x v="0"/>
    <s v="S12000006"/>
    <x v="1"/>
    <n v="69"/>
    <m/>
    <m/>
    <n v="11"/>
    <n v="53"/>
    <m/>
    <n v="0"/>
    <n v="5"/>
  </r>
  <r>
    <x v="0"/>
    <x v="0"/>
    <s v="S12000008"/>
    <x v="2"/>
    <n v="59"/>
    <m/>
    <m/>
    <n v="11"/>
    <n v="40"/>
    <m/>
    <n v="0"/>
    <n v="8"/>
  </r>
  <r>
    <x v="0"/>
    <x v="0"/>
    <s v="S12000010"/>
    <x v="3"/>
    <n v="29"/>
    <m/>
    <m/>
    <n v="5"/>
    <n v="21"/>
    <m/>
    <n v="0"/>
    <n v="3"/>
  </r>
  <r>
    <x v="0"/>
    <x v="0"/>
    <s v="S12000011"/>
    <x v="4"/>
    <n v="59"/>
    <m/>
    <m/>
    <n v="14"/>
    <n v="34"/>
    <m/>
    <n v="0"/>
    <n v="11"/>
  </r>
  <r>
    <x v="0"/>
    <x v="0"/>
    <s v="S12000013"/>
    <x v="5"/>
    <n v="0"/>
    <m/>
    <m/>
    <n v="0"/>
    <n v="0"/>
    <m/>
    <n v="0"/>
    <n v="0"/>
  </r>
  <r>
    <x v="0"/>
    <x v="0"/>
    <s v="S12000014"/>
    <x v="6"/>
    <n v="96"/>
    <m/>
    <m/>
    <n v="18"/>
    <n v="65"/>
    <m/>
    <n v="1"/>
    <n v="12"/>
  </r>
  <r>
    <x v="0"/>
    <x v="0"/>
    <s v="S12000017"/>
    <x v="7"/>
    <n v="81"/>
    <m/>
    <m/>
    <n v="9"/>
    <n v="60"/>
    <m/>
    <n v="2"/>
    <n v="10"/>
  </r>
  <r>
    <x v="0"/>
    <x v="0"/>
    <s v="S12000018"/>
    <x v="8"/>
    <n v="78"/>
    <m/>
    <m/>
    <n v="18"/>
    <n v="49"/>
    <m/>
    <n v="0"/>
    <n v="11"/>
  </r>
  <r>
    <x v="0"/>
    <x v="0"/>
    <s v="S12000019"/>
    <x v="9"/>
    <n v="35"/>
    <m/>
    <m/>
    <n v="4"/>
    <n v="26"/>
    <m/>
    <n v="0"/>
    <n v="5"/>
  </r>
  <r>
    <x v="0"/>
    <x v="0"/>
    <s v="S12000020"/>
    <x v="10"/>
    <n v="20"/>
    <m/>
    <m/>
    <n v="2"/>
    <n v="15"/>
    <m/>
    <n v="0"/>
    <n v="3"/>
  </r>
  <r>
    <x v="0"/>
    <x v="0"/>
    <s v="S12000021"/>
    <x v="11"/>
    <n v="76"/>
    <m/>
    <m/>
    <n v="13"/>
    <n v="50"/>
    <m/>
    <n v="0"/>
    <n v="13"/>
  </r>
  <r>
    <x v="0"/>
    <x v="0"/>
    <s v="S12000023"/>
    <x v="12"/>
    <n v="0"/>
    <m/>
    <m/>
    <n v="0"/>
    <n v="0"/>
    <m/>
    <n v="0"/>
    <n v="0"/>
  </r>
  <r>
    <x v="0"/>
    <x v="0"/>
    <s v="S12000024"/>
    <x v="13"/>
    <n v="88"/>
    <m/>
    <m/>
    <n v="14"/>
    <n v="61"/>
    <m/>
    <n v="2"/>
    <n v="11"/>
  </r>
  <r>
    <x v="0"/>
    <x v="0"/>
    <s v="S12000026"/>
    <x v="14"/>
    <n v="75"/>
    <m/>
    <m/>
    <n v="11"/>
    <n v="54"/>
    <m/>
    <n v="0"/>
    <n v="10"/>
  </r>
  <r>
    <x v="0"/>
    <x v="0"/>
    <s v="S12000027"/>
    <x v="15"/>
    <n v="0"/>
    <m/>
    <m/>
    <n v="0"/>
    <n v="0"/>
    <m/>
    <n v="0"/>
    <n v="0"/>
  </r>
  <r>
    <x v="0"/>
    <x v="0"/>
    <s v="S12000028"/>
    <x v="16"/>
    <n v="65"/>
    <m/>
    <m/>
    <n v="10"/>
    <n v="47"/>
    <m/>
    <n v="0"/>
    <n v="8"/>
  </r>
  <r>
    <x v="0"/>
    <x v="0"/>
    <s v="S12000029"/>
    <x v="17"/>
    <n v="190"/>
    <m/>
    <m/>
    <n v="33"/>
    <n v="129"/>
    <m/>
    <n v="2"/>
    <n v="26"/>
  </r>
  <r>
    <x v="0"/>
    <x v="0"/>
    <s v="S12000030"/>
    <x v="18"/>
    <n v="62"/>
    <m/>
    <m/>
    <n v="10"/>
    <n v="42"/>
    <m/>
    <n v="0"/>
    <n v="10"/>
  </r>
  <r>
    <x v="0"/>
    <x v="0"/>
    <s v="S12000033"/>
    <x v="19"/>
    <n v="174"/>
    <m/>
    <m/>
    <n v="24"/>
    <n v="128"/>
    <m/>
    <n v="0"/>
    <n v="22"/>
  </r>
  <r>
    <x v="0"/>
    <x v="0"/>
    <s v="S12000034"/>
    <x v="20"/>
    <n v="23"/>
    <m/>
    <m/>
    <n v="3"/>
    <n v="16"/>
    <m/>
    <n v="0"/>
    <n v="4"/>
  </r>
  <r>
    <x v="0"/>
    <x v="0"/>
    <s v="S12000035"/>
    <x v="21"/>
    <n v="58"/>
    <m/>
    <m/>
    <n v="10"/>
    <n v="31"/>
    <m/>
    <n v="2"/>
    <n v="15"/>
  </r>
  <r>
    <x v="0"/>
    <x v="0"/>
    <s v="S12000036"/>
    <x v="22"/>
    <n v="370"/>
    <m/>
    <m/>
    <n v="70"/>
    <n v="275"/>
    <m/>
    <n v="0"/>
    <n v="25"/>
  </r>
  <r>
    <x v="0"/>
    <x v="0"/>
    <s v="S12000038"/>
    <x v="23"/>
    <n v="116"/>
    <m/>
    <m/>
    <n v="22"/>
    <n v="74"/>
    <m/>
    <n v="1"/>
    <n v="19"/>
  </r>
  <r>
    <x v="0"/>
    <x v="0"/>
    <s v="S12000039"/>
    <x v="24"/>
    <n v="80"/>
    <m/>
    <m/>
    <n v="18"/>
    <n v="52"/>
    <m/>
    <n v="0"/>
    <n v="10"/>
  </r>
  <r>
    <x v="0"/>
    <x v="0"/>
    <s v="S12000040"/>
    <x v="25"/>
    <n v="85"/>
    <m/>
    <m/>
    <n v="14"/>
    <n v="61"/>
    <m/>
    <n v="0"/>
    <n v="10"/>
  </r>
  <r>
    <x v="0"/>
    <x v="0"/>
    <s v="S12000041"/>
    <x v="26"/>
    <n v="35"/>
    <m/>
    <m/>
    <n v="0"/>
    <n v="25"/>
    <m/>
    <n v="1"/>
    <n v="9"/>
  </r>
  <r>
    <x v="0"/>
    <x v="0"/>
    <s v="S12000042"/>
    <x v="27"/>
    <n v="215"/>
    <m/>
    <m/>
    <n v="29"/>
    <n v="162"/>
    <m/>
    <n v="1"/>
    <n v="23"/>
  </r>
  <r>
    <x v="0"/>
    <x v="0"/>
    <s v="S12000044"/>
    <x v="28"/>
    <n v="188"/>
    <m/>
    <m/>
    <n v="34"/>
    <n v="129"/>
    <m/>
    <n v="1"/>
    <n v="24"/>
  </r>
  <r>
    <x v="0"/>
    <x v="0"/>
    <s v="S12000045"/>
    <x v="29"/>
    <n v="74"/>
    <m/>
    <m/>
    <n v="15"/>
    <n v="45"/>
    <m/>
    <n v="0"/>
    <n v="14"/>
  </r>
  <r>
    <x v="0"/>
    <x v="0"/>
    <s v="S12000046"/>
    <x v="30"/>
    <n v="560"/>
    <m/>
    <m/>
    <n v="119"/>
    <n v="373"/>
    <m/>
    <n v="0"/>
    <n v="68"/>
  </r>
  <r>
    <x v="0"/>
    <x v="0"/>
    <s v="S12000047"/>
    <x v="31"/>
    <n v="289"/>
    <m/>
    <m/>
    <n v="58"/>
    <n v="208"/>
    <m/>
    <n v="0"/>
    <n v="23"/>
  </r>
  <r>
    <x v="0"/>
    <x v="1"/>
    <s v="S39000001"/>
    <x v="19"/>
    <n v="23"/>
    <n v="1"/>
    <m/>
    <n v="0"/>
    <n v="1"/>
    <n v="7"/>
    <n v="6"/>
    <n v="8"/>
  </r>
  <r>
    <x v="0"/>
    <x v="1"/>
    <s v="S39000002"/>
    <x v="32"/>
    <n v="15"/>
    <n v="1"/>
    <m/>
    <n v="0"/>
    <n v="0"/>
    <n v="2"/>
    <n v="4"/>
    <n v="8"/>
  </r>
  <r>
    <x v="0"/>
    <x v="1"/>
    <s v="S39000003"/>
    <x v="33"/>
    <n v="22"/>
    <n v="1"/>
    <m/>
    <n v="1"/>
    <n v="1"/>
    <n v="3"/>
    <n v="6"/>
    <n v="10"/>
  </r>
  <r>
    <x v="0"/>
    <x v="1"/>
    <s v="S39000004"/>
    <x v="1"/>
    <n v="16"/>
    <n v="0"/>
    <m/>
    <n v="0"/>
    <n v="0"/>
    <n v="2"/>
    <n v="5"/>
    <n v="9"/>
  </r>
  <r>
    <x v="0"/>
    <x v="1"/>
    <s v="S39000006"/>
    <x v="34"/>
    <n v="21"/>
    <n v="1"/>
    <m/>
    <n v="0"/>
    <n v="5"/>
    <n v="7"/>
    <n v="0"/>
    <n v="8"/>
  </r>
  <r>
    <x v="0"/>
    <x v="1"/>
    <s v="S39000007"/>
    <x v="35"/>
    <n v="12"/>
    <n v="1"/>
    <m/>
    <n v="0"/>
    <n v="1"/>
    <n v="3"/>
    <n v="5"/>
    <n v="2"/>
  </r>
  <r>
    <x v="0"/>
    <x v="1"/>
    <s v="S39000008"/>
    <x v="36"/>
    <n v="23"/>
    <n v="1"/>
    <m/>
    <n v="0"/>
    <n v="0"/>
    <n v="9"/>
    <n v="7"/>
    <n v="6"/>
  </r>
  <r>
    <x v="0"/>
    <x v="1"/>
    <s v="S39000009"/>
    <x v="37"/>
    <n v="26"/>
    <n v="2"/>
    <m/>
    <n v="3"/>
    <n v="2"/>
    <n v="9"/>
    <n v="3"/>
    <n v="7"/>
  </r>
  <r>
    <x v="0"/>
    <x v="1"/>
    <s v="S39000010"/>
    <x v="38"/>
    <n v="13"/>
    <n v="1"/>
    <m/>
    <n v="0"/>
    <n v="2"/>
    <n v="2"/>
    <n v="2"/>
    <n v="6"/>
  </r>
  <r>
    <x v="0"/>
    <x v="1"/>
    <s v="S39000012"/>
    <x v="30"/>
    <n v="28"/>
    <n v="1"/>
    <m/>
    <n v="0"/>
    <n v="3"/>
    <n v="4"/>
    <n v="10"/>
    <n v="10"/>
  </r>
  <r>
    <x v="0"/>
    <x v="1"/>
    <s v="S39000013"/>
    <x v="39"/>
    <n v="13"/>
    <n v="1"/>
    <m/>
    <n v="0"/>
    <n v="0"/>
    <n v="4"/>
    <n v="7"/>
    <n v="1"/>
  </r>
  <r>
    <x v="0"/>
    <x v="1"/>
    <s v="S39000014"/>
    <x v="28"/>
    <n v="14"/>
    <n v="1"/>
    <m/>
    <n v="1"/>
    <n v="0"/>
    <n v="2"/>
    <n v="6"/>
    <n v="4"/>
  </r>
  <r>
    <x v="0"/>
    <x v="1"/>
    <s v="S39000015"/>
    <x v="17"/>
    <n v="10"/>
    <n v="1"/>
    <m/>
    <n v="0"/>
    <n v="0"/>
    <n v="3"/>
    <n v="4"/>
    <n v="2"/>
  </r>
  <r>
    <x v="0"/>
    <x v="1"/>
    <s v="S39000016"/>
    <x v="40"/>
    <n v="8"/>
    <n v="1"/>
    <m/>
    <n v="0"/>
    <n v="0"/>
    <n v="3"/>
    <n v="4"/>
    <n v="0"/>
  </r>
  <r>
    <x v="0"/>
    <x v="1"/>
    <s v="S39000017"/>
    <x v="41"/>
    <n v="9"/>
    <n v="1"/>
    <m/>
    <n v="0"/>
    <n v="0"/>
    <n v="3"/>
    <n v="5"/>
    <n v="0"/>
  </r>
  <r>
    <x v="0"/>
    <x v="1"/>
    <s v="S39000018"/>
    <x v="42"/>
    <n v="11"/>
    <n v="1"/>
    <m/>
    <n v="0"/>
    <n v="0"/>
    <n v="3"/>
    <n v="5"/>
    <n v="2"/>
  </r>
  <r>
    <x v="0"/>
    <x v="1"/>
    <s v="S39000019"/>
    <x v="31"/>
    <n v="21"/>
    <n v="1"/>
    <m/>
    <n v="0"/>
    <n v="0"/>
    <n v="3"/>
    <n v="6"/>
    <n v="11"/>
  </r>
  <r>
    <x v="0"/>
    <x v="2"/>
    <s v="S40000003"/>
    <x v="43"/>
    <n v="111"/>
    <n v="3"/>
    <n v="1"/>
    <n v="8"/>
    <n v="0"/>
    <n v="12"/>
    <n v="8"/>
    <n v="79"/>
  </r>
  <r>
    <x v="0"/>
    <x v="2"/>
    <s v="S40000004"/>
    <x v="44"/>
    <n v="80"/>
    <n v="1"/>
    <n v="1"/>
    <n v="8"/>
    <n v="3"/>
    <n v="3"/>
    <n v="15"/>
    <n v="49"/>
  </r>
  <r>
    <x v="0"/>
    <x v="2"/>
    <s v="S40000005"/>
    <x v="45"/>
    <n v="77"/>
    <n v="2"/>
    <n v="1"/>
    <n v="24"/>
    <n v="1"/>
    <n v="9"/>
    <n v="10"/>
    <n v="30"/>
  </r>
  <r>
    <x v="0"/>
    <x v="3"/>
    <s v="S92000003"/>
    <x v="46"/>
    <n v="56"/>
    <n v="5"/>
    <n v="6"/>
    <n v="7"/>
    <n v="0"/>
    <n v="22"/>
    <n v="5"/>
    <n v="11"/>
  </r>
  <r>
    <x v="1"/>
    <x v="0"/>
    <s v="S12000005"/>
    <x v="0"/>
    <n v="37"/>
    <m/>
    <m/>
    <n v="8"/>
    <n v="25"/>
    <m/>
    <n v="0"/>
    <n v="4"/>
  </r>
  <r>
    <x v="1"/>
    <x v="0"/>
    <s v="S12000006"/>
    <x v="1"/>
    <n v="69"/>
    <m/>
    <m/>
    <n v="11"/>
    <n v="52"/>
    <m/>
    <n v="0"/>
    <n v="6"/>
  </r>
  <r>
    <x v="1"/>
    <x v="0"/>
    <s v="S12000008"/>
    <x v="2"/>
    <n v="56"/>
    <m/>
    <m/>
    <n v="9"/>
    <n v="39"/>
    <m/>
    <n v="0"/>
    <n v="8"/>
  </r>
  <r>
    <x v="1"/>
    <x v="0"/>
    <s v="S12000010"/>
    <x v="3"/>
    <n v="28"/>
    <m/>
    <m/>
    <n v="3"/>
    <n v="21"/>
    <m/>
    <n v="0"/>
    <n v="4"/>
  </r>
  <r>
    <x v="1"/>
    <x v="0"/>
    <s v="S12000011"/>
    <x v="4"/>
    <n v="57"/>
    <m/>
    <m/>
    <n v="13"/>
    <n v="35"/>
    <m/>
    <n v="0"/>
    <n v="9"/>
  </r>
  <r>
    <x v="1"/>
    <x v="0"/>
    <s v="S12000013"/>
    <x v="5"/>
    <n v="0"/>
    <m/>
    <m/>
    <n v="0"/>
    <n v="0"/>
    <m/>
    <n v="0"/>
    <n v="0"/>
  </r>
  <r>
    <x v="1"/>
    <x v="0"/>
    <s v="S12000014"/>
    <x v="6"/>
    <n v="94"/>
    <m/>
    <m/>
    <n v="17"/>
    <n v="60"/>
    <m/>
    <n v="2"/>
    <n v="15"/>
  </r>
  <r>
    <x v="1"/>
    <x v="0"/>
    <s v="S12000017"/>
    <x v="7"/>
    <n v="81"/>
    <m/>
    <m/>
    <n v="11"/>
    <n v="57"/>
    <m/>
    <n v="1"/>
    <n v="12"/>
  </r>
  <r>
    <x v="1"/>
    <x v="0"/>
    <s v="S12000018"/>
    <x v="8"/>
    <n v="77"/>
    <m/>
    <m/>
    <n v="16"/>
    <n v="49"/>
    <m/>
    <n v="0"/>
    <n v="12"/>
  </r>
  <r>
    <x v="1"/>
    <x v="0"/>
    <s v="S12000019"/>
    <x v="9"/>
    <n v="35"/>
    <m/>
    <m/>
    <n v="4"/>
    <n v="26"/>
    <m/>
    <n v="0"/>
    <n v="5"/>
  </r>
  <r>
    <x v="1"/>
    <x v="0"/>
    <s v="S12000020"/>
    <x v="10"/>
    <n v="21"/>
    <m/>
    <m/>
    <n v="3"/>
    <n v="14"/>
    <m/>
    <n v="0"/>
    <n v="4"/>
  </r>
  <r>
    <x v="1"/>
    <x v="0"/>
    <s v="S12000021"/>
    <x v="11"/>
    <n v="78"/>
    <m/>
    <m/>
    <n v="14"/>
    <n v="50"/>
    <m/>
    <n v="0"/>
    <n v="14"/>
  </r>
  <r>
    <x v="1"/>
    <x v="0"/>
    <s v="S12000023"/>
    <x v="12"/>
    <n v="0"/>
    <m/>
    <m/>
    <n v="0"/>
    <n v="0"/>
    <m/>
    <n v="0"/>
    <n v="0"/>
  </r>
  <r>
    <x v="1"/>
    <x v="0"/>
    <s v="S12000024"/>
    <x v="13"/>
    <n v="86"/>
    <m/>
    <m/>
    <n v="16"/>
    <n v="58"/>
    <m/>
    <n v="1"/>
    <n v="11"/>
  </r>
  <r>
    <x v="1"/>
    <x v="0"/>
    <s v="S12000026"/>
    <x v="14"/>
    <n v="73"/>
    <m/>
    <m/>
    <n v="11"/>
    <n v="51"/>
    <m/>
    <n v="0"/>
    <n v="11"/>
  </r>
  <r>
    <x v="1"/>
    <x v="0"/>
    <s v="S12000027"/>
    <x v="15"/>
    <n v="0"/>
    <m/>
    <m/>
    <n v="0"/>
    <n v="0"/>
    <m/>
    <n v="0"/>
    <n v="0"/>
  </r>
  <r>
    <x v="1"/>
    <x v="0"/>
    <s v="S12000028"/>
    <x v="16"/>
    <n v="60"/>
    <m/>
    <m/>
    <n v="9"/>
    <n v="43"/>
    <m/>
    <n v="0"/>
    <n v="8"/>
  </r>
  <r>
    <x v="1"/>
    <x v="0"/>
    <s v="S12000029"/>
    <x v="17"/>
    <n v="187"/>
    <m/>
    <m/>
    <n v="35"/>
    <n v="126"/>
    <m/>
    <n v="2"/>
    <n v="24"/>
  </r>
  <r>
    <x v="1"/>
    <x v="0"/>
    <s v="S12000030"/>
    <x v="18"/>
    <n v="55"/>
    <m/>
    <m/>
    <n v="10"/>
    <n v="37"/>
    <m/>
    <n v="0"/>
    <n v="8"/>
  </r>
  <r>
    <x v="1"/>
    <x v="0"/>
    <s v="S12000033"/>
    <x v="19"/>
    <n v="173"/>
    <m/>
    <m/>
    <n v="25"/>
    <n v="122"/>
    <m/>
    <n v="0"/>
    <n v="26"/>
  </r>
  <r>
    <x v="1"/>
    <x v="0"/>
    <s v="S12000034"/>
    <x v="20"/>
    <n v="23"/>
    <m/>
    <m/>
    <n v="3"/>
    <n v="18"/>
    <m/>
    <n v="0"/>
    <n v="2"/>
  </r>
  <r>
    <x v="1"/>
    <x v="0"/>
    <s v="S12000035"/>
    <x v="21"/>
    <n v="54"/>
    <m/>
    <m/>
    <n v="10"/>
    <n v="27"/>
    <m/>
    <n v="2"/>
    <n v="15"/>
  </r>
  <r>
    <x v="1"/>
    <x v="0"/>
    <s v="S12000036"/>
    <x v="22"/>
    <n v="348"/>
    <m/>
    <m/>
    <n v="64"/>
    <n v="257"/>
    <m/>
    <n v="1"/>
    <n v="26"/>
  </r>
  <r>
    <x v="1"/>
    <x v="0"/>
    <s v="S12000038"/>
    <x v="23"/>
    <n v="115"/>
    <m/>
    <m/>
    <n v="23"/>
    <n v="72"/>
    <m/>
    <n v="0"/>
    <n v="20"/>
  </r>
  <r>
    <x v="1"/>
    <x v="0"/>
    <s v="S12000039"/>
    <x v="24"/>
    <n v="74"/>
    <m/>
    <m/>
    <n v="20"/>
    <n v="45"/>
    <m/>
    <n v="0"/>
    <n v="9"/>
  </r>
  <r>
    <x v="1"/>
    <x v="0"/>
    <s v="S12000040"/>
    <x v="25"/>
    <n v="79"/>
    <m/>
    <m/>
    <n v="9"/>
    <n v="59"/>
    <m/>
    <n v="1"/>
    <n v="10"/>
  </r>
  <r>
    <x v="1"/>
    <x v="0"/>
    <s v="S12000041"/>
    <x v="26"/>
    <n v="27"/>
    <m/>
    <m/>
    <n v="0"/>
    <n v="22"/>
    <m/>
    <n v="1"/>
    <n v="4"/>
  </r>
  <r>
    <x v="1"/>
    <x v="0"/>
    <s v="S12000042"/>
    <x v="27"/>
    <n v="207"/>
    <m/>
    <m/>
    <n v="27"/>
    <n v="158"/>
    <m/>
    <n v="1"/>
    <n v="21"/>
  </r>
  <r>
    <x v="1"/>
    <x v="0"/>
    <s v="S12000044"/>
    <x v="28"/>
    <n v="187"/>
    <m/>
    <m/>
    <n v="37"/>
    <n v="125"/>
    <m/>
    <n v="1"/>
    <n v="24"/>
  </r>
  <r>
    <x v="1"/>
    <x v="0"/>
    <s v="S12000045"/>
    <x v="29"/>
    <n v="72"/>
    <m/>
    <m/>
    <n v="14"/>
    <n v="44"/>
    <m/>
    <n v="0"/>
    <n v="14"/>
  </r>
  <r>
    <x v="1"/>
    <x v="0"/>
    <s v="S12000046"/>
    <x v="30"/>
    <n v="544"/>
    <m/>
    <m/>
    <n v="116"/>
    <n v="362"/>
    <m/>
    <n v="1"/>
    <n v="65"/>
  </r>
  <r>
    <x v="1"/>
    <x v="0"/>
    <s v="S12000047"/>
    <x v="31"/>
    <n v="288"/>
    <m/>
    <m/>
    <n v="54"/>
    <n v="209"/>
    <m/>
    <n v="0"/>
    <n v="25"/>
  </r>
  <r>
    <x v="1"/>
    <x v="1"/>
    <s v="S39000001"/>
    <x v="19"/>
    <n v="18"/>
    <n v="1"/>
    <m/>
    <n v="0"/>
    <n v="0"/>
    <n v="3"/>
    <n v="7"/>
    <n v="7"/>
  </r>
  <r>
    <x v="1"/>
    <x v="1"/>
    <s v="S39000002"/>
    <x v="32"/>
    <n v="18"/>
    <n v="1"/>
    <m/>
    <n v="0"/>
    <n v="2"/>
    <n v="1"/>
    <n v="4"/>
    <n v="10"/>
  </r>
  <r>
    <x v="1"/>
    <x v="1"/>
    <s v="S39000003"/>
    <x v="33"/>
    <n v="21"/>
    <n v="1"/>
    <m/>
    <n v="0"/>
    <n v="1"/>
    <n v="7"/>
    <n v="5"/>
    <n v="7"/>
  </r>
  <r>
    <x v="1"/>
    <x v="1"/>
    <s v="S39000004"/>
    <x v="1"/>
    <n v="18"/>
    <n v="0"/>
    <m/>
    <n v="0"/>
    <n v="1"/>
    <n v="2"/>
    <n v="5"/>
    <n v="10"/>
  </r>
  <r>
    <x v="1"/>
    <x v="1"/>
    <s v="S39000006"/>
    <x v="34"/>
    <n v="20"/>
    <n v="1"/>
    <m/>
    <n v="0"/>
    <n v="0"/>
    <n v="7"/>
    <n v="7"/>
    <n v="5"/>
  </r>
  <r>
    <x v="1"/>
    <x v="1"/>
    <s v="S39000007"/>
    <x v="35"/>
    <n v="17"/>
    <n v="1"/>
    <m/>
    <n v="0"/>
    <n v="4"/>
    <n v="5"/>
    <n v="1"/>
    <n v="6"/>
  </r>
  <r>
    <x v="1"/>
    <x v="1"/>
    <s v="S39000008"/>
    <x v="36"/>
    <n v="12"/>
    <n v="1"/>
    <m/>
    <n v="0"/>
    <n v="0"/>
    <n v="3"/>
    <n v="5"/>
    <n v="3"/>
  </r>
  <r>
    <x v="1"/>
    <x v="1"/>
    <s v="S39000009"/>
    <x v="37"/>
    <n v="24"/>
    <n v="2"/>
    <m/>
    <n v="2"/>
    <n v="2"/>
    <n v="8"/>
    <n v="4"/>
    <n v="6"/>
  </r>
  <r>
    <x v="1"/>
    <x v="1"/>
    <s v="S39000010"/>
    <x v="38"/>
    <n v="13"/>
    <n v="1"/>
    <m/>
    <n v="0"/>
    <n v="1"/>
    <n v="3"/>
    <n v="3"/>
    <n v="5"/>
  </r>
  <r>
    <x v="1"/>
    <x v="1"/>
    <s v="S39000012"/>
    <x v="30"/>
    <n v="25"/>
    <n v="1"/>
    <m/>
    <n v="1"/>
    <n v="2"/>
    <n v="4"/>
    <n v="8"/>
    <n v="9"/>
  </r>
  <r>
    <x v="1"/>
    <x v="1"/>
    <s v="S39000013"/>
    <x v="39"/>
    <n v="13"/>
    <n v="1"/>
    <m/>
    <n v="0"/>
    <n v="0"/>
    <n v="6"/>
    <n v="5"/>
    <n v="1"/>
  </r>
  <r>
    <x v="1"/>
    <x v="1"/>
    <s v="S39000014"/>
    <x v="28"/>
    <n v="16"/>
    <n v="2"/>
    <m/>
    <n v="1"/>
    <n v="1"/>
    <n v="3"/>
    <n v="5"/>
    <n v="4"/>
  </r>
  <r>
    <x v="1"/>
    <x v="1"/>
    <s v="S39000015"/>
    <x v="17"/>
    <n v="10"/>
    <n v="1"/>
    <m/>
    <n v="0"/>
    <n v="0"/>
    <n v="4"/>
    <n v="2"/>
    <n v="3"/>
  </r>
  <r>
    <x v="1"/>
    <x v="1"/>
    <s v="S39000016"/>
    <x v="40"/>
    <n v="5"/>
    <n v="0"/>
    <m/>
    <n v="0"/>
    <n v="0"/>
    <n v="1"/>
    <n v="4"/>
    <n v="0"/>
  </r>
  <r>
    <x v="1"/>
    <x v="1"/>
    <s v="S39000017"/>
    <x v="41"/>
    <n v="7"/>
    <n v="1"/>
    <m/>
    <n v="0"/>
    <n v="0"/>
    <n v="3"/>
    <n v="3"/>
    <n v="0"/>
  </r>
  <r>
    <x v="1"/>
    <x v="1"/>
    <s v="S39000018"/>
    <x v="42"/>
    <n v="12"/>
    <n v="1"/>
    <m/>
    <n v="0"/>
    <n v="0"/>
    <n v="3"/>
    <n v="5"/>
    <n v="3"/>
  </r>
  <r>
    <x v="1"/>
    <x v="1"/>
    <s v="S39000019"/>
    <x v="31"/>
    <n v="21"/>
    <n v="2"/>
    <m/>
    <n v="0"/>
    <n v="0"/>
    <n v="2"/>
    <n v="6"/>
    <n v="11"/>
  </r>
  <r>
    <x v="1"/>
    <x v="2"/>
    <s v="S40000003"/>
    <x v="43"/>
    <n v="105"/>
    <n v="2"/>
    <m/>
    <n v="9"/>
    <n v="0"/>
    <n v="15"/>
    <n v="4"/>
    <n v="75"/>
  </r>
  <r>
    <x v="1"/>
    <x v="2"/>
    <s v="S40000004"/>
    <x v="44"/>
    <n v="78"/>
    <n v="1"/>
    <m/>
    <n v="4"/>
    <n v="6"/>
    <n v="4"/>
    <n v="17"/>
    <n v="46"/>
  </r>
  <r>
    <x v="1"/>
    <x v="2"/>
    <s v="S40000005"/>
    <x v="45"/>
    <n v="66"/>
    <n v="1"/>
    <m/>
    <n v="21"/>
    <n v="1"/>
    <n v="7"/>
    <n v="10"/>
    <n v="26"/>
  </r>
  <r>
    <x v="1"/>
    <x v="3"/>
    <s v="S92000003"/>
    <x v="46"/>
    <n v="52"/>
    <n v="11"/>
    <n v="7"/>
    <n v="4"/>
    <n v="1"/>
    <n v="12"/>
    <n v="6"/>
    <n v="11"/>
  </r>
  <r>
    <x v="2"/>
    <x v="0"/>
    <s v="S12000005"/>
    <x v="0"/>
    <n v="26"/>
    <m/>
    <m/>
    <n v="5"/>
    <n v="17"/>
    <m/>
    <n v="0"/>
    <n v="4"/>
  </r>
  <r>
    <x v="2"/>
    <x v="0"/>
    <s v="S12000006"/>
    <x v="1"/>
    <n v="65"/>
    <m/>
    <m/>
    <n v="14"/>
    <n v="48"/>
    <m/>
    <n v="0"/>
    <n v="3"/>
  </r>
  <r>
    <x v="2"/>
    <x v="0"/>
    <s v="S12000008"/>
    <x v="2"/>
    <n v="53"/>
    <m/>
    <m/>
    <n v="7"/>
    <n v="41"/>
    <m/>
    <n v="0"/>
    <n v="5"/>
  </r>
  <r>
    <x v="2"/>
    <x v="0"/>
    <s v="S12000010"/>
    <x v="3"/>
    <n v="27"/>
    <m/>
    <m/>
    <n v="4"/>
    <n v="19"/>
    <m/>
    <n v="0"/>
    <n v="4"/>
  </r>
  <r>
    <x v="2"/>
    <x v="0"/>
    <s v="S12000011"/>
    <x v="4"/>
    <n v="53"/>
    <m/>
    <m/>
    <n v="10"/>
    <n v="34"/>
    <m/>
    <n v="0"/>
    <n v="9"/>
  </r>
  <r>
    <x v="2"/>
    <x v="0"/>
    <s v="S12000013"/>
    <x v="5"/>
    <n v="0"/>
    <m/>
    <m/>
    <n v="0"/>
    <n v="0"/>
    <m/>
    <n v="0"/>
    <n v="0"/>
  </r>
  <r>
    <x v="2"/>
    <x v="0"/>
    <s v="S12000014"/>
    <x v="6"/>
    <n v="95"/>
    <m/>
    <m/>
    <n v="17"/>
    <n v="66"/>
    <m/>
    <n v="0"/>
    <n v="12"/>
  </r>
  <r>
    <x v="2"/>
    <x v="0"/>
    <s v="S12000017"/>
    <x v="7"/>
    <n v="68"/>
    <m/>
    <m/>
    <n v="11"/>
    <n v="53"/>
    <m/>
    <n v="0"/>
    <n v="4"/>
  </r>
  <r>
    <x v="2"/>
    <x v="0"/>
    <s v="S12000018"/>
    <x v="8"/>
    <n v="70"/>
    <m/>
    <m/>
    <n v="12"/>
    <n v="48"/>
    <m/>
    <n v="1"/>
    <n v="9"/>
  </r>
  <r>
    <x v="2"/>
    <x v="0"/>
    <s v="S12000019"/>
    <x v="9"/>
    <n v="23"/>
    <m/>
    <m/>
    <n v="4"/>
    <n v="16"/>
    <m/>
    <n v="0"/>
    <n v="3"/>
  </r>
  <r>
    <x v="2"/>
    <x v="0"/>
    <s v="S12000020"/>
    <x v="10"/>
    <n v="31"/>
    <m/>
    <m/>
    <n v="5"/>
    <n v="21"/>
    <m/>
    <n v="0"/>
    <n v="5"/>
  </r>
  <r>
    <x v="2"/>
    <x v="0"/>
    <s v="S12000021"/>
    <x v="11"/>
    <n v="78"/>
    <m/>
    <m/>
    <n v="14"/>
    <n v="52"/>
    <m/>
    <n v="0"/>
    <n v="12"/>
  </r>
  <r>
    <x v="2"/>
    <x v="0"/>
    <s v="S12000023"/>
    <x v="12"/>
    <n v="0"/>
    <m/>
    <m/>
    <n v="0"/>
    <n v="0"/>
    <m/>
    <n v="0"/>
    <n v="0"/>
  </r>
  <r>
    <x v="2"/>
    <x v="0"/>
    <s v="S12000024"/>
    <x v="13"/>
    <n v="73"/>
    <m/>
    <m/>
    <n v="13"/>
    <n v="56"/>
    <m/>
    <n v="0"/>
    <n v="4"/>
  </r>
  <r>
    <x v="2"/>
    <x v="0"/>
    <s v="S12000026"/>
    <x v="14"/>
    <n v="71"/>
    <m/>
    <m/>
    <n v="12"/>
    <n v="50"/>
    <m/>
    <n v="0"/>
    <n v="9"/>
  </r>
  <r>
    <x v="2"/>
    <x v="0"/>
    <s v="S12000027"/>
    <x v="15"/>
    <n v="0"/>
    <m/>
    <m/>
    <n v="0"/>
    <n v="0"/>
    <m/>
    <n v="0"/>
    <n v="0"/>
  </r>
  <r>
    <x v="2"/>
    <x v="0"/>
    <s v="S12000028"/>
    <x v="16"/>
    <n v="55"/>
    <m/>
    <m/>
    <n v="10"/>
    <n v="40"/>
    <m/>
    <n v="0"/>
    <n v="5"/>
  </r>
  <r>
    <x v="2"/>
    <x v="0"/>
    <s v="S12000029"/>
    <x v="17"/>
    <n v="178"/>
    <m/>
    <m/>
    <n v="28"/>
    <n v="132"/>
    <m/>
    <n v="0"/>
    <n v="18"/>
  </r>
  <r>
    <x v="2"/>
    <x v="0"/>
    <s v="S12000030"/>
    <x v="18"/>
    <n v="51"/>
    <m/>
    <m/>
    <n v="9"/>
    <n v="40"/>
    <m/>
    <n v="0"/>
    <n v="2"/>
  </r>
  <r>
    <x v="2"/>
    <x v="0"/>
    <s v="S12000033"/>
    <x v="19"/>
    <n v="144"/>
    <m/>
    <m/>
    <n v="22"/>
    <n v="109"/>
    <m/>
    <n v="0"/>
    <n v="13"/>
  </r>
  <r>
    <x v="2"/>
    <x v="0"/>
    <s v="S12000034"/>
    <x v="20"/>
    <n v="32"/>
    <m/>
    <m/>
    <n v="6"/>
    <n v="22"/>
    <m/>
    <n v="0"/>
    <n v="4"/>
  </r>
  <r>
    <x v="2"/>
    <x v="0"/>
    <s v="S12000035"/>
    <x v="21"/>
    <n v="55"/>
    <m/>
    <m/>
    <n v="8"/>
    <n v="37"/>
    <m/>
    <n v="0"/>
    <n v="10"/>
  </r>
  <r>
    <x v="2"/>
    <x v="0"/>
    <s v="S12000036"/>
    <x v="22"/>
    <n v="315"/>
    <m/>
    <m/>
    <n v="48"/>
    <n v="248"/>
    <m/>
    <n v="0"/>
    <n v="19"/>
  </r>
  <r>
    <x v="2"/>
    <x v="0"/>
    <s v="S12000038"/>
    <x v="23"/>
    <n v="92"/>
    <m/>
    <m/>
    <n v="15"/>
    <n v="62"/>
    <m/>
    <n v="0"/>
    <n v="15"/>
  </r>
  <r>
    <x v="2"/>
    <x v="0"/>
    <s v="S12000039"/>
    <x v="24"/>
    <n v="70"/>
    <m/>
    <m/>
    <n v="11"/>
    <n v="49"/>
    <m/>
    <n v="0"/>
    <n v="10"/>
  </r>
  <r>
    <x v="2"/>
    <x v="0"/>
    <s v="S12000040"/>
    <x v="25"/>
    <n v="61"/>
    <m/>
    <m/>
    <n v="9"/>
    <n v="44"/>
    <m/>
    <n v="0"/>
    <n v="8"/>
  </r>
  <r>
    <x v="2"/>
    <x v="0"/>
    <s v="S12000041"/>
    <x v="26"/>
    <n v="36"/>
    <m/>
    <m/>
    <n v="8"/>
    <n v="25"/>
    <m/>
    <n v="0"/>
    <n v="3"/>
  </r>
  <r>
    <x v="2"/>
    <x v="0"/>
    <s v="S12000042"/>
    <x v="27"/>
    <n v="176"/>
    <m/>
    <m/>
    <n v="26"/>
    <n v="135"/>
    <m/>
    <n v="1"/>
    <n v="14"/>
  </r>
  <r>
    <x v="2"/>
    <x v="0"/>
    <s v="S12000044"/>
    <x v="28"/>
    <n v="180"/>
    <m/>
    <m/>
    <n v="28"/>
    <n v="136"/>
    <m/>
    <n v="0"/>
    <n v="16"/>
  </r>
  <r>
    <x v="2"/>
    <x v="0"/>
    <s v="S12000045"/>
    <x v="29"/>
    <n v="70"/>
    <m/>
    <m/>
    <n v="9"/>
    <n v="46"/>
    <m/>
    <n v="0"/>
    <n v="15"/>
  </r>
  <r>
    <x v="2"/>
    <x v="0"/>
    <s v="S12000046"/>
    <x v="30"/>
    <n v="499"/>
    <m/>
    <m/>
    <n v="99"/>
    <n v="350"/>
    <m/>
    <n v="0"/>
    <n v="50"/>
  </r>
  <r>
    <x v="2"/>
    <x v="0"/>
    <s v="S12000047"/>
    <x v="31"/>
    <n v="278"/>
    <m/>
    <m/>
    <n v="47"/>
    <n v="211"/>
    <m/>
    <n v="0"/>
    <n v="20"/>
  </r>
  <r>
    <x v="2"/>
    <x v="1"/>
    <s v="S39000001"/>
    <x v="19"/>
    <n v="16"/>
    <n v="1"/>
    <m/>
    <n v="0"/>
    <n v="3"/>
    <n v="3"/>
    <n v="2"/>
    <n v="7"/>
  </r>
  <r>
    <x v="2"/>
    <x v="1"/>
    <s v="S39000002"/>
    <x v="32"/>
    <n v="27"/>
    <n v="1"/>
    <m/>
    <n v="7"/>
    <n v="1"/>
    <n v="2"/>
    <n v="6"/>
    <n v="10"/>
  </r>
  <r>
    <x v="2"/>
    <x v="1"/>
    <s v="S39000003"/>
    <x v="33"/>
    <n v="25"/>
    <n v="1"/>
    <m/>
    <n v="2"/>
    <n v="4"/>
    <n v="5"/>
    <n v="7"/>
    <n v="6"/>
  </r>
  <r>
    <x v="2"/>
    <x v="1"/>
    <s v="S39000004"/>
    <x v="1"/>
    <n v="19"/>
    <n v="0"/>
    <m/>
    <n v="0"/>
    <n v="2"/>
    <n v="2"/>
    <n v="5"/>
    <n v="10"/>
  </r>
  <r>
    <x v="2"/>
    <x v="1"/>
    <s v="S39000006"/>
    <x v="34"/>
    <n v="29"/>
    <n v="1"/>
    <m/>
    <n v="4"/>
    <n v="2"/>
    <n v="6"/>
    <n v="7"/>
    <n v="9"/>
  </r>
  <r>
    <x v="2"/>
    <x v="1"/>
    <s v="S39000007"/>
    <x v="35"/>
    <n v="38"/>
    <n v="1"/>
    <m/>
    <n v="10"/>
    <n v="5"/>
    <n v="5"/>
    <n v="6"/>
    <n v="11"/>
  </r>
  <r>
    <x v="2"/>
    <x v="1"/>
    <s v="S39000008"/>
    <x v="36"/>
    <n v="17"/>
    <n v="1"/>
    <m/>
    <n v="1"/>
    <n v="3"/>
    <n v="2"/>
    <n v="3"/>
    <n v="7"/>
  </r>
  <r>
    <x v="2"/>
    <x v="1"/>
    <s v="S39000009"/>
    <x v="37"/>
    <n v="27"/>
    <n v="0"/>
    <m/>
    <n v="5"/>
    <n v="4"/>
    <n v="7"/>
    <n v="2"/>
    <n v="9"/>
  </r>
  <r>
    <x v="2"/>
    <x v="1"/>
    <s v="S39000010"/>
    <x v="38"/>
    <n v="16"/>
    <n v="1"/>
    <m/>
    <n v="1"/>
    <n v="2"/>
    <n v="2"/>
    <n v="3"/>
    <n v="7"/>
  </r>
  <r>
    <x v="2"/>
    <x v="1"/>
    <s v="S39000012"/>
    <x v="30"/>
    <n v="32"/>
    <n v="1"/>
    <m/>
    <n v="1"/>
    <n v="2"/>
    <n v="5"/>
    <n v="8"/>
    <n v="15"/>
  </r>
  <r>
    <x v="2"/>
    <x v="1"/>
    <s v="S39000013"/>
    <x v="39"/>
    <n v="29"/>
    <n v="1"/>
    <m/>
    <n v="7"/>
    <n v="0"/>
    <n v="6"/>
    <n v="8"/>
    <n v="7"/>
  </r>
  <r>
    <x v="2"/>
    <x v="1"/>
    <s v="S39000014"/>
    <x v="28"/>
    <n v="20"/>
    <n v="1"/>
    <m/>
    <n v="3"/>
    <n v="0"/>
    <n v="3"/>
    <n v="4"/>
    <n v="9"/>
  </r>
  <r>
    <x v="2"/>
    <x v="1"/>
    <s v="S39000015"/>
    <x v="17"/>
    <n v="16"/>
    <n v="1"/>
    <m/>
    <n v="3"/>
    <n v="1"/>
    <n v="3"/>
    <n v="5"/>
    <n v="3"/>
  </r>
  <r>
    <x v="2"/>
    <x v="1"/>
    <s v="S39000016"/>
    <x v="40"/>
    <n v="13"/>
    <n v="0"/>
    <m/>
    <n v="2"/>
    <n v="1"/>
    <n v="2"/>
    <n v="5"/>
    <n v="3"/>
  </r>
  <r>
    <x v="2"/>
    <x v="1"/>
    <s v="S39000017"/>
    <x v="41"/>
    <n v="11"/>
    <n v="1"/>
    <m/>
    <n v="1"/>
    <n v="0"/>
    <n v="3"/>
    <n v="5"/>
    <n v="1"/>
  </r>
  <r>
    <x v="2"/>
    <x v="1"/>
    <s v="S39000018"/>
    <x v="42"/>
    <n v="24"/>
    <n v="1"/>
    <m/>
    <n v="0"/>
    <n v="1"/>
    <n v="4"/>
    <n v="10"/>
    <n v="8"/>
  </r>
  <r>
    <x v="2"/>
    <x v="1"/>
    <s v="S39000019"/>
    <x v="31"/>
    <n v="26"/>
    <n v="1"/>
    <m/>
    <n v="3"/>
    <n v="4"/>
    <n v="2"/>
    <n v="5"/>
    <n v="11"/>
  </r>
  <r>
    <x v="2"/>
    <x v="2"/>
    <s v="S40000003"/>
    <x v="43"/>
    <n v="16"/>
    <n v="1"/>
    <m/>
    <n v="3"/>
    <m/>
    <n v="5"/>
    <n v="3"/>
    <n v="4"/>
  </r>
  <r>
    <x v="2"/>
    <x v="2"/>
    <s v="S40000004"/>
    <x v="44"/>
    <n v="25"/>
    <n v="1"/>
    <m/>
    <n v="2"/>
    <m/>
    <n v="2"/>
    <n v="3"/>
    <n v="17"/>
  </r>
  <r>
    <x v="2"/>
    <x v="2"/>
    <s v="S40000005"/>
    <x v="45"/>
    <n v="44"/>
    <n v="1"/>
    <m/>
    <n v="8"/>
    <m/>
    <n v="2"/>
    <n v="8"/>
    <n v="25"/>
  </r>
  <r>
    <x v="2"/>
    <x v="3"/>
    <s v="S92000003"/>
    <x v="46"/>
    <n v="195"/>
    <n v="18"/>
    <n v="4"/>
    <n v="26"/>
    <n v="16"/>
    <n v="19"/>
    <n v="19"/>
    <n v="93"/>
  </r>
  <r>
    <x v="3"/>
    <x v="0"/>
    <s v="S12000005"/>
    <x v="0"/>
    <n v="22"/>
    <m/>
    <m/>
    <n v="4"/>
    <n v="14"/>
    <m/>
    <m/>
    <n v="4"/>
  </r>
  <r>
    <x v="3"/>
    <x v="0"/>
    <s v="S12000006"/>
    <x v="1"/>
    <n v="63"/>
    <m/>
    <m/>
    <n v="11"/>
    <n v="48"/>
    <m/>
    <m/>
    <n v="4"/>
  </r>
  <r>
    <x v="3"/>
    <x v="0"/>
    <s v="S12000008"/>
    <x v="2"/>
    <n v="46"/>
    <m/>
    <m/>
    <n v="9"/>
    <n v="32"/>
    <m/>
    <m/>
    <n v="5"/>
  </r>
  <r>
    <x v="3"/>
    <x v="0"/>
    <s v="S12000010"/>
    <x v="3"/>
    <n v="27"/>
    <m/>
    <m/>
    <n v="4"/>
    <n v="19"/>
    <m/>
    <m/>
    <n v="4"/>
  </r>
  <r>
    <x v="3"/>
    <x v="0"/>
    <s v="S12000011"/>
    <x v="4"/>
    <n v="50"/>
    <m/>
    <m/>
    <n v="10"/>
    <n v="30"/>
    <m/>
    <m/>
    <n v="10"/>
  </r>
  <r>
    <x v="3"/>
    <x v="0"/>
    <s v="S12000013"/>
    <x v="5"/>
    <n v="0"/>
    <m/>
    <m/>
    <n v="0"/>
    <n v="0"/>
    <m/>
    <m/>
    <n v="0"/>
  </r>
  <r>
    <x v="3"/>
    <x v="0"/>
    <s v="S12000014"/>
    <x v="6"/>
    <n v="86"/>
    <m/>
    <m/>
    <n v="16"/>
    <n v="57"/>
    <m/>
    <m/>
    <n v="13"/>
  </r>
  <r>
    <x v="3"/>
    <x v="0"/>
    <s v="S12000017"/>
    <x v="7"/>
    <n v="67"/>
    <m/>
    <m/>
    <n v="11"/>
    <n v="52"/>
    <m/>
    <m/>
    <n v="4"/>
  </r>
  <r>
    <x v="3"/>
    <x v="0"/>
    <s v="S12000018"/>
    <x v="8"/>
    <n v="67"/>
    <m/>
    <m/>
    <n v="13"/>
    <n v="43"/>
    <m/>
    <n v="1"/>
    <n v="11"/>
  </r>
  <r>
    <x v="3"/>
    <x v="0"/>
    <s v="S12000019"/>
    <x v="9"/>
    <n v="22"/>
    <m/>
    <m/>
    <n v="4"/>
    <n v="14"/>
    <m/>
    <m/>
    <n v="4"/>
  </r>
  <r>
    <x v="3"/>
    <x v="0"/>
    <s v="S12000020"/>
    <x v="10"/>
    <n v="27"/>
    <m/>
    <m/>
    <n v="4"/>
    <n v="19"/>
    <m/>
    <m/>
    <n v="4"/>
  </r>
  <r>
    <x v="3"/>
    <x v="0"/>
    <s v="S12000021"/>
    <x v="11"/>
    <n v="78"/>
    <m/>
    <m/>
    <n v="17"/>
    <n v="46"/>
    <m/>
    <m/>
    <n v="15"/>
  </r>
  <r>
    <x v="3"/>
    <x v="0"/>
    <s v="S12000023"/>
    <x v="12"/>
    <n v="0"/>
    <m/>
    <m/>
    <n v="0"/>
    <n v="0"/>
    <m/>
    <m/>
    <n v="0"/>
  </r>
  <r>
    <x v="3"/>
    <x v="0"/>
    <s v="S12000024"/>
    <x v="13"/>
    <n v="68"/>
    <m/>
    <m/>
    <n v="12"/>
    <n v="52"/>
    <m/>
    <m/>
    <n v="4"/>
  </r>
  <r>
    <x v="3"/>
    <x v="0"/>
    <s v="S12000026"/>
    <x v="14"/>
    <n v="56"/>
    <m/>
    <m/>
    <n v="8"/>
    <n v="40"/>
    <m/>
    <m/>
    <n v="8"/>
  </r>
  <r>
    <x v="3"/>
    <x v="0"/>
    <s v="S12000027"/>
    <x v="15"/>
    <n v="0"/>
    <m/>
    <m/>
    <n v="0"/>
    <n v="0"/>
    <m/>
    <m/>
    <n v="0"/>
  </r>
  <r>
    <x v="3"/>
    <x v="0"/>
    <s v="S12000028"/>
    <x v="16"/>
    <n v="54"/>
    <m/>
    <m/>
    <n v="10"/>
    <n v="39"/>
    <m/>
    <m/>
    <n v="5"/>
  </r>
  <r>
    <x v="3"/>
    <x v="0"/>
    <s v="S12000029"/>
    <x v="17"/>
    <n v="171"/>
    <m/>
    <m/>
    <n v="34"/>
    <n v="117"/>
    <m/>
    <m/>
    <n v="20"/>
  </r>
  <r>
    <x v="3"/>
    <x v="0"/>
    <s v="S12000030"/>
    <x v="18"/>
    <n v="53"/>
    <m/>
    <m/>
    <n v="9"/>
    <n v="40"/>
    <m/>
    <m/>
    <n v="4"/>
  </r>
  <r>
    <x v="3"/>
    <x v="0"/>
    <s v="S12000033"/>
    <x v="19"/>
    <n v="155"/>
    <m/>
    <m/>
    <n v="26"/>
    <n v="113"/>
    <m/>
    <m/>
    <n v="16"/>
  </r>
  <r>
    <x v="3"/>
    <x v="0"/>
    <s v="S12000034"/>
    <x v="20"/>
    <n v="25"/>
    <m/>
    <m/>
    <n v="4"/>
    <n v="17"/>
    <m/>
    <m/>
    <n v="4"/>
  </r>
  <r>
    <x v="3"/>
    <x v="0"/>
    <s v="S12000035"/>
    <x v="21"/>
    <n v="43"/>
    <m/>
    <m/>
    <n v="9"/>
    <n v="24"/>
    <m/>
    <m/>
    <n v="10"/>
  </r>
  <r>
    <x v="3"/>
    <x v="0"/>
    <s v="S12000036"/>
    <x v="22"/>
    <n v="313"/>
    <m/>
    <m/>
    <n v="60"/>
    <n v="227"/>
    <m/>
    <m/>
    <n v="26"/>
  </r>
  <r>
    <x v="3"/>
    <x v="0"/>
    <s v="S12000038"/>
    <x v="23"/>
    <n v="97"/>
    <m/>
    <m/>
    <n v="21"/>
    <n v="60"/>
    <m/>
    <m/>
    <n v="16"/>
  </r>
  <r>
    <x v="3"/>
    <x v="0"/>
    <s v="S12000039"/>
    <x v="24"/>
    <n v="69"/>
    <m/>
    <m/>
    <n v="15"/>
    <n v="44"/>
    <m/>
    <m/>
    <n v="10"/>
  </r>
  <r>
    <x v="3"/>
    <x v="0"/>
    <s v="S12000040"/>
    <x v="25"/>
    <n v="60"/>
    <m/>
    <m/>
    <n v="10"/>
    <n v="42"/>
    <m/>
    <m/>
    <n v="8"/>
  </r>
  <r>
    <x v="3"/>
    <x v="0"/>
    <s v="S12000041"/>
    <x v="26"/>
    <n v="25"/>
    <m/>
    <m/>
    <n v="4"/>
    <n v="18"/>
    <m/>
    <m/>
    <n v="3"/>
  </r>
  <r>
    <x v="3"/>
    <x v="0"/>
    <s v="S12000042"/>
    <x v="27"/>
    <n v="192"/>
    <m/>
    <m/>
    <n v="30"/>
    <n v="144"/>
    <m/>
    <m/>
    <n v="18"/>
  </r>
  <r>
    <x v="3"/>
    <x v="0"/>
    <s v="S12000044"/>
    <x v="28"/>
    <n v="173"/>
    <m/>
    <m/>
    <n v="30"/>
    <n v="123"/>
    <m/>
    <m/>
    <n v="20"/>
  </r>
  <r>
    <x v="3"/>
    <x v="0"/>
    <s v="S12000045"/>
    <x v="29"/>
    <n v="68"/>
    <m/>
    <m/>
    <n v="14"/>
    <n v="39"/>
    <m/>
    <m/>
    <n v="15"/>
  </r>
  <r>
    <x v="3"/>
    <x v="0"/>
    <s v="S12000046"/>
    <x v="30"/>
    <n v="475"/>
    <m/>
    <m/>
    <n v="105"/>
    <n v="313"/>
    <m/>
    <m/>
    <n v="57"/>
  </r>
  <r>
    <x v="3"/>
    <x v="0"/>
    <s v="S12000047"/>
    <x v="31"/>
    <n v="270"/>
    <m/>
    <m/>
    <n v="48"/>
    <n v="201"/>
    <m/>
    <m/>
    <n v="21"/>
  </r>
  <r>
    <x v="3"/>
    <x v="1"/>
    <s v="S39000001"/>
    <x v="19"/>
    <n v="14"/>
    <n v="1"/>
    <m/>
    <n v="2"/>
    <n v="2"/>
    <n v="1"/>
    <n v="3"/>
    <n v="5"/>
  </r>
  <r>
    <x v="3"/>
    <x v="1"/>
    <s v="S39000002"/>
    <x v="32"/>
    <n v="25"/>
    <n v="1"/>
    <m/>
    <n v="5"/>
    <n v="0"/>
    <n v="2"/>
    <n v="8"/>
    <n v="9"/>
  </r>
  <r>
    <x v="3"/>
    <x v="1"/>
    <s v="S39000003"/>
    <x v="33"/>
    <n v="26"/>
    <n v="1"/>
    <m/>
    <n v="4"/>
    <n v="2"/>
    <n v="3"/>
    <n v="9"/>
    <n v="7"/>
  </r>
  <r>
    <x v="3"/>
    <x v="1"/>
    <s v="S39000004"/>
    <x v="1"/>
    <n v="22"/>
    <n v="1"/>
    <m/>
    <n v="3"/>
    <n v="1"/>
    <n v="2"/>
    <n v="6"/>
    <n v="9"/>
  </r>
  <r>
    <x v="3"/>
    <x v="1"/>
    <s v="S39000006"/>
    <x v="34"/>
    <n v="30"/>
    <n v="1"/>
    <m/>
    <n v="5"/>
    <n v="2"/>
    <n v="4"/>
    <n v="9"/>
    <n v="9"/>
  </r>
  <r>
    <x v="3"/>
    <x v="1"/>
    <s v="S39000007"/>
    <x v="35"/>
    <n v="31"/>
    <n v="1"/>
    <m/>
    <n v="5"/>
    <n v="5"/>
    <n v="4"/>
    <n v="8"/>
    <n v="8"/>
  </r>
  <r>
    <x v="3"/>
    <x v="1"/>
    <s v="S39000008"/>
    <x v="36"/>
    <n v="18"/>
    <n v="1"/>
    <m/>
    <n v="2"/>
    <n v="1"/>
    <n v="3"/>
    <n v="4"/>
    <n v="7"/>
  </r>
  <r>
    <x v="3"/>
    <x v="1"/>
    <s v="S39000009"/>
    <x v="37"/>
    <n v="27"/>
    <n v="1"/>
    <m/>
    <n v="2"/>
    <n v="4"/>
    <n v="3"/>
    <n v="6"/>
    <n v="11"/>
  </r>
  <r>
    <x v="3"/>
    <x v="1"/>
    <s v="S39000010"/>
    <x v="38"/>
    <n v="21"/>
    <n v="1"/>
    <m/>
    <n v="3"/>
    <n v="2"/>
    <n v="2"/>
    <n v="6"/>
    <n v="7"/>
  </r>
  <r>
    <x v="3"/>
    <x v="1"/>
    <s v="S39000012"/>
    <x v="30"/>
    <n v="25"/>
    <n v="1"/>
    <m/>
    <n v="3"/>
    <n v="2"/>
    <n v="4"/>
    <n v="9"/>
    <n v="6"/>
  </r>
  <r>
    <x v="3"/>
    <x v="1"/>
    <s v="S39000013"/>
    <x v="39"/>
    <n v="37"/>
    <n v="1"/>
    <m/>
    <n v="10"/>
    <n v="1"/>
    <n v="4"/>
    <n v="13"/>
    <n v="8"/>
  </r>
  <r>
    <x v="3"/>
    <x v="1"/>
    <s v="S39000014"/>
    <x v="28"/>
    <n v="15"/>
    <n v="1"/>
    <m/>
    <n v="1"/>
    <n v="1"/>
    <n v="2"/>
    <n v="5"/>
    <n v="5"/>
  </r>
  <r>
    <x v="3"/>
    <x v="1"/>
    <s v="S39000015"/>
    <x v="17"/>
    <n v="15"/>
    <n v="1"/>
    <m/>
    <n v="2"/>
    <n v="1"/>
    <n v="2"/>
    <n v="5"/>
    <n v="4"/>
  </r>
  <r>
    <x v="3"/>
    <x v="1"/>
    <s v="S39000016"/>
    <x v="40"/>
    <n v="15"/>
    <n v="0"/>
    <m/>
    <n v="3"/>
    <n v="1"/>
    <n v="2"/>
    <n v="4"/>
    <n v="5"/>
  </r>
  <r>
    <x v="3"/>
    <x v="1"/>
    <s v="S39000017"/>
    <x v="41"/>
    <n v="16"/>
    <n v="1"/>
    <m/>
    <n v="6"/>
    <n v="0"/>
    <n v="3"/>
    <n v="5"/>
    <n v="1"/>
  </r>
  <r>
    <x v="3"/>
    <x v="1"/>
    <s v="S39000018"/>
    <x v="42"/>
    <n v="28"/>
    <n v="1"/>
    <m/>
    <n v="2"/>
    <n v="2"/>
    <n v="4"/>
    <n v="9"/>
    <n v="10"/>
  </r>
  <r>
    <x v="3"/>
    <x v="1"/>
    <s v="S39000019"/>
    <x v="31"/>
    <n v="24"/>
    <n v="1"/>
    <m/>
    <n v="3"/>
    <n v="3"/>
    <n v="2"/>
    <n v="7"/>
    <n v="8"/>
  </r>
  <r>
    <x v="3"/>
    <x v="2"/>
    <s v="S40000003"/>
    <x v="43"/>
    <n v="68"/>
    <n v="1"/>
    <m/>
    <n v="10"/>
    <n v="1"/>
    <n v="3"/>
    <n v="11"/>
    <n v="42"/>
  </r>
  <r>
    <x v="3"/>
    <x v="2"/>
    <s v="S40000004"/>
    <x v="44"/>
    <n v="38"/>
    <n v="1"/>
    <m/>
    <n v="6"/>
    <n v="1"/>
    <n v="5"/>
    <n v="5"/>
    <n v="20"/>
  </r>
  <r>
    <x v="3"/>
    <x v="2"/>
    <s v="S40000005"/>
    <x v="45"/>
    <n v="45"/>
    <n v="1"/>
    <m/>
    <n v="6"/>
    <n v="1"/>
    <n v="4"/>
    <n v="9"/>
    <n v="24"/>
  </r>
  <r>
    <x v="3"/>
    <x v="3"/>
    <s v="S92000003"/>
    <x v="46"/>
    <n v="182"/>
    <n v="15"/>
    <n v="4"/>
    <n v="0"/>
    <n v="101"/>
    <n v="11"/>
    <n v="9"/>
    <n v="42"/>
  </r>
  <r>
    <x v="4"/>
    <x v="0"/>
    <s v="S12000005"/>
    <x v="0"/>
    <n v="25"/>
    <m/>
    <m/>
    <n v="5"/>
    <n v="15"/>
    <m/>
    <m/>
    <n v="5"/>
  </r>
  <r>
    <x v="4"/>
    <x v="0"/>
    <s v="S12000006"/>
    <x v="1"/>
    <n v="54"/>
    <m/>
    <m/>
    <n v="11"/>
    <n v="38"/>
    <m/>
    <m/>
    <n v="5"/>
  </r>
  <r>
    <x v="4"/>
    <x v="0"/>
    <s v="S12000008"/>
    <x v="2"/>
    <n v="49"/>
    <m/>
    <m/>
    <n v="10"/>
    <n v="34"/>
    <m/>
    <m/>
    <n v="5"/>
  </r>
  <r>
    <x v="4"/>
    <x v="0"/>
    <s v="S12000010"/>
    <x v="3"/>
    <n v="23"/>
    <m/>
    <m/>
    <n v="5"/>
    <n v="13"/>
    <m/>
    <m/>
    <n v="5"/>
  </r>
  <r>
    <x v="4"/>
    <x v="0"/>
    <s v="S12000011"/>
    <x v="4"/>
    <n v="51"/>
    <m/>
    <m/>
    <n v="10"/>
    <n v="30"/>
    <m/>
    <m/>
    <n v="11"/>
  </r>
  <r>
    <x v="4"/>
    <x v="0"/>
    <s v="S12000014"/>
    <x v="6"/>
    <n v="87"/>
    <m/>
    <m/>
    <n v="22"/>
    <n v="49"/>
    <m/>
    <m/>
    <n v="16"/>
  </r>
  <r>
    <x v="4"/>
    <x v="0"/>
    <s v="S12000017"/>
    <x v="7"/>
    <n v="68"/>
    <m/>
    <m/>
    <n v="15"/>
    <n v="49"/>
    <m/>
    <m/>
    <n v="4"/>
  </r>
  <r>
    <x v="4"/>
    <x v="0"/>
    <s v="S12000018"/>
    <x v="8"/>
    <n v="72"/>
    <m/>
    <m/>
    <n v="15"/>
    <n v="44"/>
    <m/>
    <m/>
    <n v="13"/>
  </r>
  <r>
    <x v="4"/>
    <x v="0"/>
    <s v="S12000019"/>
    <x v="9"/>
    <n v="28"/>
    <m/>
    <m/>
    <n v="5"/>
    <n v="18"/>
    <m/>
    <m/>
    <n v="5"/>
  </r>
  <r>
    <x v="4"/>
    <x v="0"/>
    <s v="S12000020"/>
    <x v="10"/>
    <n v="29"/>
    <m/>
    <m/>
    <n v="5"/>
    <n v="19"/>
    <m/>
    <m/>
    <n v="5"/>
  </r>
  <r>
    <x v="4"/>
    <x v="0"/>
    <s v="S12000021"/>
    <x v="11"/>
    <n v="76"/>
    <m/>
    <m/>
    <n v="16"/>
    <n v="45"/>
    <m/>
    <m/>
    <n v="15"/>
  </r>
  <r>
    <x v="4"/>
    <x v="0"/>
    <s v="S12000024"/>
    <x v="13"/>
    <n v="69"/>
    <m/>
    <m/>
    <n v="10"/>
    <n v="54"/>
    <m/>
    <m/>
    <n v="5"/>
  </r>
  <r>
    <x v="4"/>
    <x v="0"/>
    <s v="S12000026"/>
    <x v="14"/>
    <n v="51"/>
    <m/>
    <m/>
    <n v="9"/>
    <n v="32"/>
    <m/>
    <m/>
    <n v="10"/>
  </r>
  <r>
    <x v="4"/>
    <x v="0"/>
    <s v="S12000028"/>
    <x v="16"/>
    <n v="50"/>
    <m/>
    <m/>
    <n v="10"/>
    <n v="35"/>
    <m/>
    <m/>
    <n v="5"/>
  </r>
  <r>
    <x v="4"/>
    <x v="0"/>
    <s v="S12000029"/>
    <x v="17"/>
    <n v="166"/>
    <m/>
    <m/>
    <n v="35"/>
    <n v="111"/>
    <m/>
    <m/>
    <n v="20"/>
  </r>
  <r>
    <x v="4"/>
    <x v="0"/>
    <s v="S12000030"/>
    <x v="18"/>
    <n v="48"/>
    <m/>
    <m/>
    <n v="9"/>
    <n v="34"/>
    <m/>
    <m/>
    <n v="5"/>
  </r>
  <r>
    <x v="4"/>
    <x v="0"/>
    <s v="S12000033"/>
    <x v="19"/>
    <n v="145"/>
    <m/>
    <m/>
    <n v="33"/>
    <n v="97"/>
    <m/>
    <m/>
    <n v="15"/>
  </r>
  <r>
    <x v="4"/>
    <x v="0"/>
    <s v="S12000034"/>
    <x v="20"/>
    <n v="24"/>
    <m/>
    <m/>
    <n v="5"/>
    <n v="14"/>
    <m/>
    <m/>
    <n v="5"/>
  </r>
  <r>
    <x v="4"/>
    <x v="0"/>
    <s v="S12000035"/>
    <x v="21"/>
    <n v="50"/>
    <m/>
    <m/>
    <n v="10"/>
    <n v="30"/>
    <m/>
    <m/>
    <n v="10"/>
  </r>
  <r>
    <x v="4"/>
    <x v="0"/>
    <s v="S12000036"/>
    <x v="22"/>
    <n v="293"/>
    <m/>
    <m/>
    <n v="54"/>
    <n v="204"/>
    <m/>
    <m/>
    <n v="35"/>
  </r>
  <r>
    <x v="4"/>
    <x v="0"/>
    <s v="S12000038"/>
    <x v="23"/>
    <n v="94"/>
    <m/>
    <m/>
    <n v="20"/>
    <n v="59"/>
    <m/>
    <m/>
    <n v="15"/>
  </r>
  <r>
    <x v="4"/>
    <x v="0"/>
    <s v="S12000039"/>
    <x v="24"/>
    <n v="68"/>
    <m/>
    <m/>
    <n v="15"/>
    <n v="43"/>
    <m/>
    <m/>
    <n v="10"/>
  </r>
  <r>
    <x v="4"/>
    <x v="0"/>
    <s v="S12000040"/>
    <x v="25"/>
    <n v="58"/>
    <m/>
    <m/>
    <n v="11"/>
    <n v="37"/>
    <m/>
    <m/>
    <n v="10"/>
  </r>
  <r>
    <x v="4"/>
    <x v="0"/>
    <s v="S12000041"/>
    <x v="26"/>
    <n v="28"/>
    <m/>
    <m/>
    <n v="5"/>
    <n v="18"/>
    <m/>
    <m/>
    <n v="5"/>
  </r>
  <r>
    <x v="4"/>
    <x v="0"/>
    <s v="S12000042"/>
    <x v="27"/>
    <n v="178"/>
    <m/>
    <m/>
    <n v="35"/>
    <n v="122"/>
    <m/>
    <m/>
    <n v="21"/>
  </r>
  <r>
    <x v="4"/>
    <x v="0"/>
    <s v="S12000044"/>
    <x v="28"/>
    <n v="163"/>
    <m/>
    <m/>
    <n v="31"/>
    <n v="113"/>
    <m/>
    <m/>
    <n v="19"/>
  </r>
  <r>
    <x v="4"/>
    <x v="0"/>
    <s v="S12000045"/>
    <x v="29"/>
    <n v="78"/>
    <m/>
    <m/>
    <n v="15"/>
    <n v="48"/>
    <m/>
    <m/>
    <n v="15"/>
  </r>
  <r>
    <x v="4"/>
    <x v="0"/>
    <s v="S12000046"/>
    <x v="30"/>
    <n v="489"/>
    <m/>
    <m/>
    <n v="113"/>
    <n v="319"/>
    <m/>
    <m/>
    <n v="57"/>
  </r>
  <r>
    <x v="4"/>
    <x v="0"/>
    <s v="S12000047"/>
    <x v="31"/>
    <n v="254"/>
    <m/>
    <m/>
    <n v="49"/>
    <n v="181"/>
    <m/>
    <m/>
    <n v="24"/>
  </r>
  <r>
    <x v="4"/>
    <x v="1"/>
    <s v="S39000001"/>
    <x v="19"/>
    <n v="15"/>
    <n v="1"/>
    <m/>
    <n v="2"/>
    <n v="2"/>
    <n v="2"/>
    <n v="3"/>
    <n v="5"/>
  </r>
  <r>
    <x v="4"/>
    <x v="1"/>
    <s v="S39000002"/>
    <x v="32"/>
    <n v="25"/>
    <n v="1"/>
    <m/>
    <n v="7"/>
    <m/>
    <n v="2"/>
    <n v="7"/>
    <n v="8"/>
  </r>
  <r>
    <x v="4"/>
    <x v="1"/>
    <s v="S39000003"/>
    <x v="33"/>
    <n v="26"/>
    <n v="1"/>
    <m/>
    <n v="6"/>
    <n v="1"/>
    <n v="3"/>
    <n v="9"/>
    <n v="6"/>
  </r>
  <r>
    <x v="4"/>
    <x v="1"/>
    <s v="S39000004"/>
    <x v="1"/>
    <n v="22"/>
    <n v="1"/>
    <m/>
    <n v="4"/>
    <n v="2"/>
    <n v="2"/>
    <n v="6"/>
    <n v="7"/>
  </r>
  <r>
    <x v="4"/>
    <x v="1"/>
    <s v="S39000006"/>
    <x v="34"/>
    <n v="27"/>
    <n v="1"/>
    <m/>
    <n v="5"/>
    <n v="1"/>
    <n v="3"/>
    <n v="9"/>
    <n v="8"/>
  </r>
  <r>
    <x v="4"/>
    <x v="1"/>
    <s v="S39000007"/>
    <x v="35"/>
    <n v="27"/>
    <n v="1"/>
    <m/>
    <n v="3"/>
    <n v="5"/>
    <n v="3"/>
    <n v="7"/>
    <n v="8"/>
  </r>
  <r>
    <x v="4"/>
    <x v="1"/>
    <s v="S39000008"/>
    <x v="36"/>
    <n v="16"/>
    <n v="1"/>
    <m/>
    <n v="2"/>
    <n v="2"/>
    <n v="3"/>
    <n v="4"/>
    <n v="4"/>
  </r>
  <r>
    <x v="4"/>
    <x v="1"/>
    <s v="S39000009"/>
    <x v="37"/>
    <n v="31"/>
    <n v="1"/>
    <m/>
    <n v="6"/>
    <n v="3"/>
    <n v="3"/>
    <n v="7"/>
    <n v="11"/>
  </r>
  <r>
    <x v="4"/>
    <x v="1"/>
    <s v="S39000010"/>
    <x v="38"/>
    <n v="19"/>
    <n v="1"/>
    <m/>
    <n v="3"/>
    <n v="2"/>
    <n v="2"/>
    <n v="5"/>
    <n v="6"/>
  </r>
  <r>
    <x v="4"/>
    <x v="1"/>
    <s v="S39000012"/>
    <x v="30"/>
    <n v="22"/>
    <n v="1"/>
    <m/>
    <n v="2"/>
    <n v="1"/>
    <n v="4"/>
    <n v="8"/>
    <n v="6"/>
  </r>
  <r>
    <x v="4"/>
    <x v="1"/>
    <s v="S39000013"/>
    <x v="39"/>
    <n v="32"/>
    <n v="1"/>
    <m/>
    <n v="7"/>
    <n v="1"/>
    <n v="4"/>
    <n v="12"/>
    <n v="7"/>
  </r>
  <r>
    <x v="4"/>
    <x v="1"/>
    <s v="S39000014"/>
    <x v="28"/>
    <n v="17"/>
    <n v="1"/>
    <m/>
    <n v="2"/>
    <n v="1"/>
    <n v="2"/>
    <n v="6"/>
    <n v="5"/>
  </r>
  <r>
    <x v="4"/>
    <x v="1"/>
    <s v="S39000015"/>
    <x v="17"/>
    <n v="16"/>
    <n v="1"/>
    <m/>
    <n v="2"/>
    <n v="1"/>
    <n v="2"/>
    <n v="6"/>
    <n v="4"/>
  </r>
  <r>
    <x v="4"/>
    <x v="1"/>
    <s v="S39000016"/>
    <x v="40"/>
    <n v="18"/>
    <n v="1"/>
    <m/>
    <n v="3"/>
    <n v="1"/>
    <n v="3"/>
    <n v="5"/>
    <n v="5"/>
  </r>
  <r>
    <x v="4"/>
    <x v="1"/>
    <s v="S39000017"/>
    <x v="41"/>
    <n v="19"/>
    <n v="1"/>
    <m/>
    <n v="5"/>
    <m/>
    <n v="2"/>
    <n v="6"/>
    <n v="5"/>
  </r>
  <r>
    <x v="4"/>
    <x v="1"/>
    <s v="S39000018"/>
    <x v="42"/>
    <n v="28"/>
    <n v="1"/>
    <m/>
    <n v="3"/>
    <n v="2"/>
    <n v="4"/>
    <n v="9"/>
    <n v="9"/>
  </r>
  <r>
    <x v="4"/>
    <x v="1"/>
    <s v="S39000019"/>
    <x v="31"/>
    <n v="19"/>
    <m/>
    <m/>
    <n v="1"/>
    <n v="4"/>
    <n v="2"/>
    <n v="6"/>
    <n v="6"/>
  </r>
  <r>
    <x v="4"/>
    <x v="2"/>
    <s v="S40000003"/>
    <x v="43"/>
    <n v="73"/>
    <n v="1"/>
    <m/>
    <n v="18"/>
    <m/>
    <n v="4"/>
    <n v="13"/>
    <n v="37"/>
  </r>
  <r>
    <x v="4"/>
    <x v="2"/>
    <s v="S40000004"/>
    <x v="44"/>
    <n v="37"/>
    <n v="1"/>
    <m/>
    <n v="9"/>
    <m/>
    <n v="5"/>
    <n v="6"/>
    <n v="16"/>
  </r>
  <r>
    <x v="4"/>
    <x v="2"/>
    <s v="S40000005"/>
    <x v="45"/>
    <n v="46"/>
    <n v="1"/>
    <m/>
    <n v="11"/>
    <m/>
    <n v="6"/>
    <n v="10"/>
    <n v="18"/>
  </r>
  <r>
    <x v="4"/>
    <x v="3"/>
    <s v="S92000003"/>
    <x v="46"/>
    <n v="143"/>
    <n v="15"/>
    <n v="4"/>
    <m/>
    <n v="55"/>
    <n v="13"/>
    <n v="9"/>
    <n v="47"/>
  </r>
  <r>
    <x v="5"/>
    <x v="0"/>
    <s v="S12000005"/>
    <x v="0"/>
    <n v="25"/>
    <m/>
    <m/>
    <n v="5"/>
    <n v="15"/>
    <m/>
    <m/>
    <n v="5"/>
  </r>
  <r>
    <x v="5"/>
    <x v="0"/>
    <s v="S12000006"/>
    <x v="1"/>
    <n v="53"/>
    <m/>
    <m/>
    <n v="10"/>
    <n v="38"/>
    <m/>
    <m/>
    <n v="5"/>
  </r>
  <r>
    <x v="5"/>
    <x v="0"/>
    <s v="S12000008"/>
    <x v="2"/>
    <n v="47"/>
    <m/>
    <m/>
    <n v="10"/>
    <n v="32"/>
    <m/>
    <m/>
    <n v="5"/>
  </r>
  <r>
    <x v="5"/>
    <x v="0"/>
    <s v="S12000010"/>
    <x v="3"/>
    <n v="24"/>
    <m/>
    <m/>
    <n v="5"/>
    <n v="14"/>
    <m/>
    <m/>
    <n v="5"/>
  </r>
  <r>
    <x v="5"/>
    <x v="0"/>
    <s v="S12000011"/>
    <x v="4"/>
    <n v="52"/>
    <m/>
    <m/>
    <n v="10"/>
    <n v="31"/>
    <m/>
    <m/>
    <n v="11"/>
  </r>
  <r>
    <x v="5"/>
    <x v="0"/>
    <s v="S12000014"/>
    <x v="6"/>
    <n v="88"/>
    <m/>
    <m/>
    <n v="20"/>
    <n v="53"/>
    <m/>
    <m/>
    <n v="15"/>
  </r>
  <r>
    <x v="5"/>
    <x v="0"/>
    <s v="S12000017"/>
    <x v="7"/>
    <n v="70"/>
    <m/>
    <m/>
    <n v="15"/>
    <n v="50"/>
    <m/>
    <m/>
    <n v="5"/>
  </r>
  <r>
    <x v="5"/>
    <x v="0"/>
    <s v="S12000018"/>
    <x v="8"/>
    <n v="72"/>
    <m/>
    <m/>
    <n v="15"/>
    <n v="47"/>
    <m/>
    <m/>
    <n v="10"/>
  </r>
  <r>
    <x v="5"/>
    <x v="0"/>
    <s v="S12000019"/>
    <x v="9"/>
    <n v="26"/>
    <m/>
    <m/>
    <n v="4"/>
    <n v="17"/>
    <m/>
    <m/>
    <n v="5"/>
  </r>
  <r>
    <x v="5"/>
    <x v="0"/>
    <s v="S12000020"/>
    <x v="10"/>
    <n v="30"/>
    <m/>
    <m/>
    <n v="5"/>
    <n v="20"/>
    <m/>
    <m/>
    <n v="5"/>
  </r>
  <r>
    <x v="5"/>
    <x v="0"/>
    <s v="S12000021"/>
    <x v="11"/>
    <n v="76"/>
    <m/>
    <m/>
    <n v="15"/>
    <n v="45"/>
    <m/>
    <m/>
    <n v="16"/>
  </r>
  <r>
    <x v="5"/>
    <x v="0"/>
    <s v="S12000024"/>
    <x v="13"/>
    <n v="69"/>
    <m/>
    <m/>
    <n v="10"/>
    <n v="54"/>
    <m/>
    <m/>
    <n v="5"/>
  </r>
  <r>
    <x v="5"/>
    <x v="0"/>
    <s v="S12000026"/>
    <x v="14"/>
    <n v="56"/>
    <m/>
    <m/>
    <n v="10"/>
    <n v="36"/>
    <m/>
    <m/>
    <n v="10"/>
  </r>
  <r>
    <x v="5"/>
    <x v="0"/>
    <s v="S12000028"/>
    <x v="16"/>
    <n v="50"/>
    <m/>
    <m/>
    <n v="11"/>
    <n v="34"/>
    <m/>
    <m/>
    <n v="5"/>
  </r>
  <r>
    <x v="5"/>
    <x v="0"/>
    <s v="S12000029"/>
    <x v="17"/>
    <n v="167"/>
    <m/>
    <m/>
    <n v="36"/>
    <n v="111"/>
    <m/>
    <m/>
    <n v="20"/>
  </r>
  <r>
    <x v="5"/>
    <x v="0"/>
    <s v="S12000030"/>
    <x v="18"/>
    <n v="49"/>
    <m/>
    <m/>
    <n v="10"/>
    <n v="34"/>
    <m/>
    <m/>
    <n v="5"/>
  </r>
  <r>
    <x v="5"/>
    <x v="0"/>
    <s v="S12000033"/>
    <x v="19"/>
    <n v="153"/>
    <m/>
    <m/>
    <n v="35"/>
    <n v="103"/>
    <m/>
    <m/>
    <n v="15"/>
  </r>
  <r>
    <x v="5"/>
    <x v="0"/>
    <s v="S12000034"/>
    <x v="20"/>
    <n v="30"/>
    <m/>
    <m/>
    <n v="5"/>
    <n v="20"/>
    <m/>
    <m/>
    <n v="5"/>
  </r>
  <r>
    <x v="5"/>
    <x v="0"/>
    <s v="S12000035"/>
    <x v="21"/>
    <n v="54"/>
    <m/>
    <m/>
    <n v="11"/>
    <n v="33"/>
    <m/>
    <m/>
    <n v="10"/>
  </r>
  <r>
    <x v="5"/>
    <x v="0"/>
    <s v="S12000036"/>
    <x v="22"/>
    <n v="297"/>
    <m/>
    <m/>
    <n v="59"/>
    <n v="203"/>
    <m/>
    <m/>
    <n v="35"/>
  </r>
  <r>
    <x v="5"/>
    <x v="0"/>
    <s v="S12000038"/>
    <x v="23"/>
    <n v="99"/>
    <m/>
    <m/>
    <n v="18"/>
    <n v="65"/>
    <m/>
    <m/>
    <n v="16"/>
  </r>
  <r>
    <x v="5"/>
    <x v="0"/>
    <s v="S12000039"/>
    <x v="24"/>
    <n v="73"/>
    <m/>
    <m/>
    <n v="15"/>
    <n v="48"/>
    <m/>
    <m/>
    <n v="10"/>
  </r>
  <r>
    <x v="5"/>
    <x v="0"/>
    <s v="S12000040"/>
    <x v="25"/>
    <n v="56"/>
    <m/>
    <m/>
    <n v="10"/>
    <n v="36"/>
    <m/>
    <m/>
    <n v="10"/>
  </r>
  <r>
    <x v="5"/>
    <x v="0"/>
    <s v="S12000041"/>
    <x v="26"/>
    <n v="28"/>
    <m/>
    <m/>
    <n v="5"/>
    <n v="18"/>
    <m/>
    <m/>
    <n v="5"/>
  </r>
  <r>
    <x v="5"/>
    <x v="0"/>
    <s v="S12000042"/>
    <x v="27"/>
    <n v="177"/>
    <m/>
    <m/>
    <n v="35"/>
    <n v="122"/>
    <m/>
    <m/>
    <n v="20"/>
  </r>
  <r>
    <x v="5"/>
    <x v="0"/>
    <s v="S12000044"/>
    <x v="28"/>
    <n v="166"/>
    <m/>
    <m/>
    <n v="35"/>
    <n v="111"/>
    <m/>
    <m/>
    <n v="20"/>
  </r>
  <r>
    <x v="5"/>
    <x v="0"/>
    <s v="S12000045"/>
    <x v="29"/>
    <n v="78"/>
    <m/>
    <m/>
    <n v="15"/>
    <n v="47"/>
    <m/>
    <m/>
    <n v="16"/>
  </r>
  <r>
    <x v="5"/>
    <x v="0"/>
    <s v="S12000046"/>
    <x v="30"/>
    <n v="515"/>
    <m/>
    <m/>
    <n v="110"/>
    <n v="349"/>
    <m/>
    <m/>
    <n v="56"/>
  </r>
  <r>
    <x v="5"/>
    <x v="0"/>
    <s v="S12000047"/>
    <x v="31"/>
    <n v="274"/>
    <m/>
    <m/>
    <n v="48"/>
    <n v="199"/>
    <m/>
    <m/>
    <n v="27"/>
  </r>
  <r>
    <x v="5"/>
    <x v="1"/>
    <s v="S39000001"/>
    <x v="19"/>
    <n v="17"/>
    <n v="1"/>
    <m/>
    <n v="2"/>
    <n v="2"/>
    <n v="2"/>
    <n v="4"/>
    <n v="6"/>
  </r>
  <r>
    <x v="5"/>
    <x v="1"/>
    <s v="S39000002"/>
    <x v="32"/>
    <n v="25"/>
    <n v="1"/>
    <m/>
    <n v="6"/>
    <m/>
    <n v="2"/>
    <n v="8"/>
    <n v="8"/>
  </r>
  <r>
    <x v="5"/>
    <x v="1"/>
    <s v="S39000003"/>
    <x v="33"/>
    <n v="26"/>
    <n v="1"/>
    <m/>
    <n v="6"/>
    <n v="2"/>
    <n v="3"/>
    <n v="8"/>
    <n v="6"/>
  </r>
  <r>
    <x v="5"/>
    <x v="1"/>
    <s v="S39000004"/>
    <x v="1"/>
    <n v="22"/>
    <n v="1"/>
    <m/>
    <n v="4"/>
    <n v="2"/>
    <n v="2"/>
    <n v="6"/>
    <n v="7"/>
  </r>
  <r>
    <x v="5"/>
    <x v="1"/>
    <s v="S39000006"/>
    <x v="34"/>
    <n v="25"/>
    <n v="1"/>
    <m/>
    <n v="2"/>
    <n v="2"/>
    <n v="3"/>
    <n v="9"/>
    <n v="8"/>
  </r>
  <r>
    <x v="5"/>
    <x v="1"/>
    <s v="S39000007"/>
    <x v="35"/>
    <n v="25"/>
    <n v="1"/>
    <m/>
    <n v="2"/>
    <n v="3"/>
    <n v="3"/>
    <n v="7"/>
    <n v="9"/>
  </r>
  <r>
    <x v="5"/>
    <x v="1"/>
    <s v="S39000008"/>
    <x v="36"/>
    <n v="14"/>
    <n v="1"/>
    <m/>
    <m/>
    <n v="2"/>
    <n v="4"/>
    <n v="4"/>
    <n v="3"/>
  </r>
  <r>
    <x v="5"/>
    <x v="1"/>
    <s v="S39000009"/>
    <x v="37"/>
    <n v="30"/>
    <n v="1"/>
    <m/>
    <n v="5"/>
    <n v="3"/>
    <n v="5"/>
    <n v="4"/>
    <n v="12"/>
  </r>
  <r>
    <x v="5"/>
    <x v="1"/>
    <s v="S39000010"/>
    <x v="38"/>
    <n v="20"/>
    <n v="1"/>
    <m/>
    <n v="3"/>
    <n v="2"/>
    <n v="2"/>
    <n v="6"/>
    <n v="6"/>
  </r>
  <r>
    <x v="5"/>
    <x v="1"/>
    <s v="S39000012"/>
    <x v="30"/>
    <n v="25"/>
    <n v="1"/>
    <m/>
    <n v="2"/>
    <n v="2"/>
    <n v="4"/>
    <n v="9"/>
    <n v="7"/>
  </r>
  <r>
    <x v="5"/>
    <x v="1"/>
    <s v="S39000013"/>
    <x v="39"/>
    <n v="43"/>
    <n v="1"/>
    <m/>
    <n v="9"/>
    <n v="1"/>
    <n v="4"/>
    <n v="14"/>
    <n v="16"/>
  </r>
  <r>
    <x v="5"/>
    <x v="1"/>
    <s v="S39000014"/>
    <x v="28"/>
    <n v="17"/>
    <n v="1"/>
    <m/>
    <n v="2"/>
    <n v="1"/>
    <n v="2"/>
    <n v="5"/>
    <n v="6"/>
  </r>
  <r>
    <x v="5"/>
    <x v="1"/>
    <s v="S39000015"/>
    <x v="17"/>
    <n v="16"/>
    <n v="1"/>
    <m/>
    <n v="2"/>
    <n v="1"/>
    <n v="2"/>
    <n v="6"/>
    <n v="4"/>
  </r>
  <r>
    <x v="5"/>
    <x v="1"/>
    <s v="S39000016"/>
    <x v="40"/>
    <n v="18"/>
    <n v="1"/>
    <m/>
    <n v="3"/>
    <n v="1"/>
    <n v="2"/>
    <n v="6"/>
    <n v="5"/>
  </r>
  <r>
    <x v="5"/>
    <x v="1"/>
    <s v="S39000017"/>
    <x v="41"/>
    <n v="16"/>
    <n v="1"/>
    <m/>
    <n v="3"/>
    <m/>
    <n v="3"/>
    <n v="5"/>
    <n v="4"/>
  </r>
  <r>
    <x v="5"/>
    <x v="1"/>
    <s v="S39000018"/>
    <x v="42"/>
    <n v="29"/>
    <n v="1"/>
    <m/>
    <n v="3"/>
    <n v="2"/>
    <n v="4"/>
    <n v="8"/>
    <n v="11"/>
  </r>
  <r>
    <x v="5"/>
    <x v="1"/>
    <s v="S39000019"/>
    <x v="31"/>
    <n v="18"/>
    <m/>
    <m/>
    <m/>
    <n v="4"/>
    <n v="2"/>
    <n v="6"/>
    <n v="6"/>
  </r>
  <r>
    <x v="5"/>
    <x v="2"/>
    <s v="S40000003"/>
    <x v="43"/>
    <n v="79"/>
    <n v="1"/>
    <m/>
    <n v="26"/>
    <m/>
    <n v="5"/>
    <n v="12"/>
    <n v="35"/>
  </r>
  <r>
    <x v="5"/>
    <x v="2"/>
    <s v="S40000004"/>
    <x v="44"/>
    <n v="37"/>
    <n v="1"/>
    <m/>
    <n v="8"/>
    <m/>
    <n v="5"/>
    <n v="5"/>
    <n v="18"/>
  </r>
  <r>
    <x v="5"/>
    <x v="2"/>
    <s v="S40000005"/>
    <x v="45"/>
    <n v="30"/>
    <n v="1"/>
    <m/>
    <n v="7"/>
    <m/>
    <n v="4"/>
    <n v="7"/>
    <n v="11"/>
  </r>
  <r>
    <x v="5"/>
    <x v="3"/>
    <s v="S92000003"/>
    <x v="46"/>
    <n v="149"/>
    <n v="14"/>
    <n v="4"/>
    <m/>
    <n v="60"/>
    <n v="17"/>
    <n v="8"/>
    <n v="46"/>
  </r>
</pivotCacheRecords>
</file>

<file path=xl/pivotCache/pivotCacheRecords10.xml><?xml version="1.0" encoding="utf-8"?>
<pivotCacheRecords xmlns="http://schemas.openxmlformats.org/spreadsheetml/2006/main" xmlns:r="http://schemas.openxmlformats.org/officeDocument/2006/relationships" count="30">
  <r>
    <x v="0"/>
    <x v="0"/>
    <n v="223"/>
    <n v="199"/>
    <n v="24"/>
  </r>
  <r>
    <x v="0"/>
    <x v="1"/>
    <n v="2940"/>
    <n v="178"/>
    <n v="2762"/>
  </r>
  <r>
    <x v="0"/>
    <x v="2"/>
    <n v="961"/>
    <n v="545"/>
    <n v="416"/>
  </r>
  <r>
    <x v="0"/>
    <x v="3"/>
    <n v="359"/>
    <n v="52"/>
    <n v="307"/>
  </r>
  <r>
    <x v="0"/>
    <x v="4"/>
    <n v="4001"/>
    <n v="159"/>
    <n v="3842"/>
  </r>
  <r>
    <x v="1"/>
    <x v="0"/>
    <n v="230"/>
    <n v="192"/>
    <n v="38"/>
  </r>
  <r>
    <x v="1"/>
    <x v="1"/>
    <n v="2950"/>
    <n v="172"/>
    <n v="2778"/>
  </r>
  <r>
    <x v="1"/>
    <x v="2"/>
    <n v="867"/>
    <n v="480"/>
    <n v="387"/>
  </r>
  <r>
    <x v="1"/>
    <x v="3"/>
    <n v="378"/>
    <n v="56"/>
    <n v="322"/>
  </r>
  <r>
    <x v="1"/>
    <x v="4"/>
    <n v="3856"/>
    <n v="164"/>
    <n v="3692"/>
  </r>
  <r>
    <x v="2"/>
    <x v="0"/>
    <n v="203"/>
    <n v="171"/>
    <n v="32"/>
  </r>
  <r>
    <x v="2"/>
    <x v="1"/>
    <n v="2870"/>
    <n v="163"/>
    <n v="2707"/>
  </r>
  <r>
    <x v="2"/>
    <x v="2"/>
    <n v="828"/>
    <n v="463"/>
    <n v="365"/>
  </r>
  <r>
    <x v="2"/>
    <x v="3"/>
    <n v="342"/>
    <n v="56"/>
    <n v="286"/>
  </r>
  <r>
    <x v="2"/>
    <x v="4"/>
    <n v="3690"/>
    <n v="167"/>
    <n v="3523"/>
  </r>
  <r>
    <x v="3"/>
    <x v="0"/>
    <n v="165"/>
    <n v="139"/>
    <n v="26"/>
  </r>
  <r>
    <x v="3"/>
    <x v="1"/>
    <n v="2870"/>
    <n v="158"/>
    <n v="2712"/>
  </r>
  <r>
    <x v="3"/>
    <x v="2"/>
    <n v="838"/>
    <n v="466"/>
    <n v="372"/>
  </r>
  <r>
    <x v="3"/>
    <x v="3"/>
    <n v="316"/>
    <n v="48"/>
    <n v="268"/>
  </r>
  <r>
    <x v="3"/>
    <x v="4"/>
    <n v="3645"/>
    <n v="178"/>
    <n v="3467"/>
  </r>
  <r>
    <x v="4"/>
    <x v="0"/>
    <n v="189"/>
    <n v="158"/>
    <n v="31"/>
  </r>
  <r>
    <x v="4"/>
    <x v="1"/>
    <n v="2863"/>
    <n v="171"/>
    <n v="2692"/>
  </r>
  <r>
    <x v="4"/>
    <x v="2"/>
    <n v="846"/>
    <n v="476"/>
    <n v="370"/>
  </r>
  <r>
    <x v="4"/>
    <x v="3"/>
    <n v="332"/>
    <n v="55"/>
    <n v="277"/>
  </r>
  <r>
    <x v="4"/>
    <x v="4"/>
    <n v="3546"/>
    <n v="175"/>
    <n v="3371"/>
  </r>
  <r>
    <x v="5"/>
    <x v="0"/>
    <n v="207"/>
    <n v="172"/>
    <n v="35"/>
  </r>
  <r>
    <x v="5"/>
    <x v="1"/>
    <n v="2953"/>
    <n v="202"/>
    <n v="2751"/>
  </r>
  <r>
    <x v="5"/>
    <x v="2"/>
    <n v="792"/>
    <n v="427"/>
    <n v="365"/>
  </r>
  <r>
    <x v="5"/>
    <x v="3"/>
    <n v="317"/>
    <n v="54"/>
    <n v="263"/>
  </r>
  <r>
    <x v="5"/>
    <x v="4"/>
    <n v="3637"/>
    <n v="196"/>
    <n v="3441"/>
  </r>
</pivotCacheRecords>
</file>

<file path=xl/pivotCache/pivotCacheRecords11.xml><?xml version="1.0" encoding="utf-8"?>
<pivotCacheRecords xmlns="http://schemas.openxmlformats.org/spreadsheetml/2006/main" xmlns:r="http://schemas.openxmlformats.org/officeDocument/2006/relationships" count="69">
  <r>
    <x v="0"/>
    <x v="0"/>
    <n v="853"/>
    <n v="302"/>
    <n v="438"/>
    <n v="12"/>
    <n v="69"/>
    <n v="32"/>
  </r>
  <r>
    <x v="0"/>
    <x v="1"/>
    <n v="2223"/>
    <n v="1254"/>
    <n v="691"/>
    <n v="46"/>
    <n v="174"/>
    <n v="58"/>
  </r>
  <r>
    <x v="0"/>
    <x v="2"/>
    <n v="1667"/>
    <n v="888"/>
    <n v="540"/>
    <n v="34"/>
    <n v="142"/>
    <n v="63"/>
  </r>
  <r>
    <x v="0"/>
    <x v="3"/>
    <n v="1943"/>
    <n v="1024"/>
    <n v="635"/>
    <n v="42"/>
    <n v="153"/>
    <n v="89"/>
  </r>
  <r>
    <x v="0"/>
    <x v="4"/>
    <n v="1116"/>
    <n v="486"/>
    <n v="370"/>
    <n v="52"/>
    <n v="160"/>
    <n v="48"/>
  </r>
  <r>
    <x v="0"/>
    <x v="5"/>
    <n v="623"/>
    <n v="47"/>
    <n v="253"/>
    <n v="37"/>
    <n v="248"/>
    <n v="38"/>
  </r>
  <r>
    <x v="0"/>
    <x v="6"/>
    <n v="17"/>
    <n v="0"/>
    <n v="0"/>
    <n v="0"/>
    <n v="15"/>
    <n v="2"/>
  </r>
  <r>
    <x v="0"/>
    <x v="7"/>
    <n v="42"/>
    <n v="0"/>
    <n v="13"/>
    <n v="0"/>
    <n v="0"/>
    <n v="29"/>
  </r>
  <r>
    <x v="1"/>
    <x v="8"/>
    <n v="252"/>
    <n v="47"/>
    <n v="159"/>
    <n v="9"/>
    <n v="17"/>
    <n v="20"/>
  </r>
  <r>
    <x v="1"/>
    <x v="9"/>
    <n v="547"/>
    <n v="179"/>
    <n v="287"/>
    <n v="17"/>
    <n v="41"/>
    <n v="23"/>
  </r>
  <r>
    <x v="1"/>
    <x v="10"/>
    <n v="970"/>
    <n v="529"/>
    <n v="337"/>
    <n v="18"/>
    <n v="52"/>
    <n v="34"/>
  </r>
  <r>
    <x v="1"/>
    <x v="11"/>
    <n v="1169"/>
    <n v="668"/>
    <n v="350"/>
    <n v="27"/>
    <n v="94"/>
    <n v="30"/>
  </r>
  <r>
    <x v="1"/>
    <x v="2"/>
    <n v="1550"/>
    <n v="822"/>
    <n v="510"/>
    <n v="35"/>
    <n v="118"/>
    <n v="65"/>
  </r>
  <r>
    <x v="1"/>
    <x v="3"/>
    <n v="1912"/>
    <n v="1006"/>
    <n v="627"/>
    <n v="41"/>
    <n v="149"/>
    <n v="89"/>
  </r>
  <r>
    <x v="1"/>
    <x v="4"/>
    <n v="1201"/>
    <n v="554"/>
    <n v="398"/>
    <n v="48"/>
    <n v="148"/>
    <n v="53"/>
  </r>
  <r>
    <x v="1"/>
    <x v="12"/>
    <n v="448"/>
    <n v="50"/>
    <n v="202"/>
    <n v="31"/>
    <n v="132"/>
    <n v="33"/>
  </r>
  <r>
    <x v="1"/>
    <x v="13"/>
    <n v="178"/>
    <n v="1"/>
    <n v="71"/>
    <n v="4"/>
    <n v="93"/>
    <n v="9"/>
  </r>
  <r>
    <x v="1"/>
    <x v="14"/>
    <n v="20"/>
    <n v="0"/>
    <n v="2"/>
    <n v="0"/>
    <n v="17"/>
    <n v="1"/>
  </r>
  <r>
    <x v="1"/>
    <x v="15"/>
    <n v="6"/>
    <n v="0"/>
    <n v="0"/>
    <n v="0"/>
    <n v="6"/>
    <n v="0"/>
  </r>
  <r>
    <x v="1"/>
    <x v="7"/>
    <n v="28"/>
    <n v="0"/>
    <n v="7"/>
    <n v="0"/>
    <n v="0"/>
    <n v="21"/>
  </r>
  <r>
    <x v="2"/>
    <x v="8"/>
    <n v="258"/>
    <n v="38"/>
    <n v="180"/>
    <n v="5"/>
    <n v="20"/>
    <n v="15"/>
  </r>
  <r>
    <x v="2"/>
    <x v="9"/>
    <n v="507"/>
    <n v="145"/>
    <n v="283"/>
    <n v="14"/>
    <n v="45"/>
    <n v="20"/>
  </r>
  <r>
    <x v="2"/>
    <x v="10"/>
    <n v="879"/>
    <n v="438"/>
    <n v="335"/>
    <n v="15"/>
    <n v="64"/>
    <n v="27"/>
  </r>
  <r>
    <x v="2"/>
    <x v="11"/>
    <n v="1145"/>
    <n v="667"/>
    <n v="352"/>
    <n v="23"/>
    <n v="73"/>
    <n v="30"/>
  </r>
  <r>
    <x v="2"/>
    <x v="2"/>
    <n v="1387"/>
    <n v="752"/>
    <n v="456"/>
    <n v="29"/>
    <n v="102"/>
    <n v="48"/>
  </r>
  <r>
    <x v="2"/>
    <x v="3"/>
    <n v="1813"/>
    <n v="978"/>
    <n v="576"/>
    <n v="39"/>
    <n v="144"/>
    <n v="76"/>
  </r>
  <r>
    <x v="2"/>
    <x v="4"/>
    <n v="1287"/>
    <n v="618"/>
    <n v="432"/>
    <n v="42"/>
    <n v="139"/>
    <n v="56"/>
  </r>
  <r>
    <x v="2"/>
    <x v="12"/>
    <n v="426"/>
    <n v="51"/>
    <n v="181"/>
    <n v="34"/>
    <n v="124"/>
    <n v="36"/>
  </r>
  <r>
    <x v="2"/>
    <x v="13"/>
    <n v="179"/>
    <n v="2"/>
    <n v="62"/>
    <n v="2"/>
    <n v="99"/>
    <n v="14"/>
  </r>
  <r>
    <x v="2"/>
    <x v="14"/>
    <n v="19"/>
    <n v="0"/>
    <n v="5"/>
    <n v="0"/>
    <n v="12"/>
    <n v="2"/>
  </r>
  <r>
    <x v="2"/>
    <x v="15"/>
    <n v="6"/>
    <n v="0"/>
    <n v="0"/>
    <n v="0"/>
    <n v="6"/>
    <n v="0"/>
  </r>
  <r>
    <x v="2"/>
    <x v="16"/>
    <n v="12"/>
    <n v="0"/>
    <n v="0"/>
    <n v="0"/>
    <n v="0"/>
    <n v="12"/>
  </r>
  <r>
    <x v="2"/>
    <x v="7"/>
    <n v="15"/>
    <n v="1"/>
    <n v="8"/>
    <n v="0"/>
    <n v="0"/>
    <n v="6"/>
  </r>
  <r>
    <x v="3"/>
    <x v="8"/>
    <n v="253"/>
    <n v="51"/>
    <n v="174"/>
    <n v="1"/>
    <n v="17"/>
    <n v="10"/>
  </r>
  <r>
    <x v="3"/>
    <x v="9"/>
    <n v="516"/>
    <n v="144"/>
    <n v="295"/>
    <n v="16"/>
    <n v="41"/>
    <n v="20"/>
  </r>
  <r>
    <x v="3"/>
    <x v="10"/>
    <n v="845"/>
    <n v="398"/>
    <n v="337"/>
    <n v="13"/>
    <n v="71"/>
    <n v="26"/>
  </r>
  <r>
    <x v="3"/>
    <x v="11"/>
    <n v="1177"/>
    <n v="661"/>
    <n v="387"/>
    <n v="21"/>
    <n v="73"/>
    <n v="35"/>
  </r>
  <r>
    <x v="3"/>
    <x v="2"/>
    <n v="1247"/>
    <n v="689"/>
    <n v="392"/>
    <n v="20"/>
    <n v="111"/>
    <n v="35"/>
  </r>
  <r>
    <x v="3"/>
    <x v="3"/>
    <n v="1766"/>
    <n v="968"/>
    <n v="555"/>
    <n v="29"/>
    <n v="144"/>
    <n v="70"/>
  </r>
  <r>
    <x v="3"/>
    <x v="4"/>
    <n v="1354"/>
    <n v="658"/>
    <n v="460"/>
    <n v="36"/>
    <n v="135"/>
    <n v="65"/>
  </r>
  <r>
    <x v="3"/>
    <x v="12"/>
    <n v="444"/>
    <n v="73"/>
    <n v="178"/>
    <n v="25"/>
    <n v="133"/>
    <n v="35"/>
  </r>
  <r>
    <x v="3"/>
    <x v="13"/>
    <n v="188"/>
    <n v="3"/>
    <n v="73"/>
    <n v="4"/>
    <n v="91"/>
    <n v="17"/>
  </r>
  <r>
    <x v="3"/>
    <x v="14"/>
    <n v="20"/>
    <n v="0"/>
    <n v="3"/>
    <n v="0"/>
    <n v="16"/>
    <n v="1"/>
  </r>
  <r>
    <x v="3"/>
    <x v="15"/>
    <n v="6"/>
    <n v="0"/>
    <n v="0"/>
    <n v="0"/>
    <n v="5"/>
    <n v="1"/>
  </r>
  <r>
    <x v="3"/>
    <x v="7"/>
    <n v="18"/>
    <n v="0"/>
    <n v="16"/>
    <n v="0"/>
    <n v="1"/>
    <n v="1"/>
  </r>
  <r>
    <x v="4"/>
    <x v="8"/>
    <n v="188"/>
    <n v="24"/>
    <n v="135"/>
    <n v="5"/>
    <n v="14"/>
    <n v="10"/>
  </r>
  <r>
    <x v="4"/>
    <x v="9"/>
    <n v="524"/>
    <n v="149"/>
    <n v="298"/>
    <n v="23"/>
    <n v="35"/>
    <n v="19"/>
  </r>
  <r>
    <x v="4"/>
    <x v="10"/>
    <n v="815"/>
    <n v="320"/>
    <n v="366"/>
    <n v="26"/>
    <n v="71"/>
    <n v="32"/>
  </r>
  <r>
    <x v="4"/>
    <x v="11"/>
    <n v="1107"/>
    <n v="605"/>
    <n v="375"/>
    <n v="22"/>
    <n v="70"/>
    <n v="35"/>
  </r>
  <r>
    <x v="4"/>
    <x v="2"/>
    <n v="1180"/>
    <n v="661"/>
    <n v="359"/>
    <n v="21"/>
    <n v="103"/>
    <n v="36"/>
  </r>
  <r>
    <x v="4"/>
    <x v="3"/>
    <n v="1602"/>
    <n v="880"/>
    <n v="494"/>
    <n v="27"/>
    <n v="139"/>
    <n v="62"/>
  </r>
  <r>
    <x v="4"/>
    <x v="4"/>
    <n v="1527"/>
    <n v="775"/>
    <n v="499"/>
    <n v="33"/>
    <n v="140"/>
    <n v="80"/>
  </r>
  <r>
    <x v="4"/>
    <x v="12"/>
    <n v="562"/>
    <n v="124"/>
    <n v="237"/>
    <n v="29"/>
    <n v="141"/>
    <n v="31"/>
  </r>
  <r>
    <x v="4"/>
    <x v="13"/>
    <n v="207"/>
    <n v="7"/>
    <n v="84"/>
    <n v="3"/>
    <n v="93"/>
    <n v="20"/>
  </r>
  <r>
    <x v="4"/>
    <x v="14"/>
    <n v="50"/>
    <n v="1"/>
    <n v="12"/>
    <m/>
    <n v="32"/>
    <n v="5"/>
  </r>
  <r>
    <x v="4"/>
    <x v="15"/>
    <n v="9"/>
    <m/>
    <n v="1"/>
    <m/>
    <n v="8"/>
    <m/>
  </r>
  <r>
    <x v="4"/>
    <x v="7"/>
    <n v="5"/>
    <m/>
    <n v="3"/>
    <m/>
    <m/>
    <n v="2"/>
  </r>
  <r>
    <x v="5"/>
    <x v="8"/>
    <n v="230"/>
    <n v="47"/>
    <n v="140"/>
    <n v="12"/>
    <n v="18"/>
    <n v="13"/>
  </r>
  <r>
    <x v="5"/>
    <x v="9"/>
    <n v="607"/>
    <n v="214"/>
    <n v="309"/>
    <n v="25"/>
    <n v="40"/>
    <n v="19"/>
  </r>
  <r>
    <x v="5"/>
    <x v="10"/>
    <n v="838"/>
    <n v="339"/>
    <n v="374"/>
    <n v="36"/>
    <n v="61"/>
    <n v="28"/>
  </r>
  <r>
    <x v="5"/>
    <x v="11"/>
    <n v="1104"/>
    <n v="595"/>
    <n v="385"/>
    <n v="24"/>
    <n v="71"/>
    <n v="29"/>
  </r>
  <r>
    <x v="5"/>
    <x v="2"/>
    <n v="1207"/>
    <n v="687"/>
    <n v="376"/>
    <n v="20"/>
    <n v="91"/>
    <n v="33"/>
  </r>
  <r>
    <x v="5"/>
    <x v="3"/>
    <n v="1514"/>
    <n v="828"/>
    <n v="468"/>
    <n v="27"/>
    <n v="134"/>
    <n v="57"/>
  </r>
  <r>
    <x v="5"/>
    <x v="4"/>
    <n v="1496"/>
    <n v="749"/>
    <n v="514"/>
    <n v="28"/>
    <n v="132"/>
    <n v="73"/>
  </r>
  <r>
    <x v="5"/>
    <x v="12"/>
    <n v="631"/>
    <n v="168"/>
    <n v="268"/>
    <n v="30"/>
    <n v="126"/>
    <n v="39"/>
  </r>
  <r>
    <x v="5"/>
    <x v="13"/>
    <n v="218"/>
    <n v="9"/>
    <n v="95"/>
    <n v="5"/>
    <n v="89"/>
    <n v="20"/>
  </r>
  <r>
    <x v="5"/>
    <x v="14"/>
    <n v="53"/>
    <n v="1"/>
    <n v="20"/>
    <m/>
    <n v="26"/>
    <n v="6"/>
  </r>
  <r>
    <x v="5"/>
    <x v="15"/>
    <n v="2"/>
    <m/>
    <m/>
    <m/>
    <n v="2"/>
    <m/>
  </r>
  <r>
    <x v="5"/>
    <x v="7"/>
    <n v="6"/>
    <m/>
    <n v="4"/>
    <m/>
    <n v="2"/>
    <m/>
  </r>
</pivotCacheRecords>
</file>

<file path=xl/pivotCache/pivotCacheRecords12.xml><?xml version="1.0" encoding="utf-8"?>
<pivotCacheRecords xmlns="http://schemas.openxmlformats.org/spreadsheetml/2006/main" xmlns:r="http://schemas.openxmlformats.org/officeDocument/2006/relationships" count="18">
  <r>
    <x v="0"/>
    <x v="0"/>
    <n v="1325"/>
    <n v="26"/>
    <n v="434"/>
    <n v="51"/>
    <n v="814"/>
  </r>
  <r>
    <x v="0"/>
    <x v="1"/>
    <n v="1294"/>
    <n v="22"/>
    <n v="429"/>
    <n v="54"/>
    <n v="789"/>
  </r>
  <r>
    <x v="0"/>
    <x v="2"/>
    <n v="891"/>
    <n v="15"/>
    <n v="272"/>
    <n v="23"/>
    <n v="581"/>
  </r>
  <r>
    <x v="0"/>
    <x v="3"/>
    <n v="893"/>
    <n v="21"/>
    <n v="262"/>
    <n v="25"/>
    <n v="585"/>
  </r>
  <r>
    <x v="0"/>
    <x v="4"/>
    <n v="271"/>
    <n v="16"/>
    <n v="134"/>
    <n v="12"/>
    <n v="109"/>
  </r>
  <r>
    <x v="0"/>
    <x v="5"/>
    <n v="69"/>
    <n v="11"/>
    <n v="47"/>
    <n v="4"/>
    <n v="7"/>
  </r>
  <r>
    <x v="0"/>
    <x v="6"/>
    <n v="1100"/>
    <n v="17"/>
    <n v="572"/>
    <n v="64"/>
    <n v="447"/>
  </r>
  <r>
    <x v="0"/>
    <x v="7"/>
    <n v="30"/>
    <n v="5"/>
    <n v="22"/>
    <n v="2"/>
    <n v="1"/>
  </r>
  <r>
    <x v="0"/>
    <x v="8"/>
    <n v="1057"/>
    <n v="56"/>
    <n v="691"/>
    <n v="97"/>
    <n v="213"/>
  </r>
  <r>
    <x v="1"/>
    <x v="0"/>
    <n v="1584"/>
    <n v="30"/>
    <n v="442"/>
    <n v="47"/>
    <n v="879"/>
  </r>
  <r>
    <x v="1"/>
    <x v="1"/>
    <n v="1359"/>
    <n v="19"/>
    <n v="405"/>
    <n v="54"/>
    <n v="781"/>
  </r>
  <r>
    <x v="1"/>
    <x v="2"/>
    <n v="990"/>
    <n v="18"/>
    <n v="294"/>
    <n v="25"/>
    <n v="589"/>
  </r>
  <r>
    <x v="1"/>
    <x v="3"/>
    <n v="901"/>
    <n v="19"/>
    <n v="248"/>
    <n v="22"/>
    <n v="551"/>
  </r>
  <r>
    <x v="1"/>
    <x v="4"/>
    <n v="329"/>
    <n v="19"/>
    <n v="158"/>
    <n v="15"/>
    <n v="99"/>
  </r>
  <r>
    <x v="1"/>
    <x v="5"/>
    <n v="86"/>
    <n v="9"/>
    <n v="53"/>
    <n v="1"/>
    <n v="4"/>
  </r>
  <r>
    <x v="1"/>
    <x v="6"/>
    <n v="1081"/>
    <n v="27"/>
    <n v="581"/>
    <n v="53"/>
    <n v="325"/>
  </r>
  <r>
    <x v="1"/>
    <x v="7"/>
    <n v="41"/>
    <n v="4"/>
    <n v="23"/>
    <n v="4"/>
    <n v="3"/>
  </r>
  <r>
    <x v="1"/>
    <x v="8"/>
    <n v="1535"/>
    <n v="62"/>
    <n v="749"/>
    <n v="96"/>
    <n v="406"/>
  </r>
</pivotCacheRecords>
</file>

<file path=xl/pivotCache/pivotCacheRecords13.xml><?xml version="1.0" encoding="utf-8"?>
<pivotCacheRecords xmlns="http://schemas.openxmlformats.org/spreadsheetml/2006/main" xmlns:r="http://schemas.openxmlformats.org/officeDocument/2006/relationships" count="56">
  <r>
    <x v="0"/>
    <x v="0"/>
    <n v="84.6"/>
    <n v="0.4"/>
    <n v="15"/>
  </r>
  <r>
    <x v="0"/>
    <x v="1"/>
    <n v="81.8"/>
    <n v="0.2"/>
    <n v="18"/>
  </r>
  <r>
    <x v="0"/>
    <x v="2"/>
    <n v="65.5"/>
    <n v="1"/>
    <n v="33.5"/>
  </r>
  <r>
    <x v="0"/>
    <x v="3"/>
    <n v="74.400000000000006"/>
    <n v="0.6"/>
    <n v="25"/>
  </r>
  <r>
    <x v="0"/>
    <x v="4"/>
    <n v="75"/>
    <n v="0.6"/>
    <n v="24.4"/>
  </r>
  <r>
    <x v="0"/>
    <x v="5"/>
    <n v="62.7"/>
    <n v="0.2"/>
    <n v="37"/>
  </r>
  <r>
    <x v="0"/>
    <x v="6"/>
    <n v="72.2"/>
    <n v="0.8"/>
    <n v="27.1"/>
  </r>
  <r>
    <x v="1"/>
    <x v="0"/>
    <n v="89.7"/>
    <n v="0.4"/>
    <n v="9.8000000000000007"/>
  </r>
  <r>
    <x v="1"/>
    <x v="1"/>
    <n v="80.900000000000006"/>
    <n v="0.2"/>
    <n v="18.899999999999999"/>
  </r>
  <r>
    <x v="1"/>
    <x v="2"/>
    <n v="78.400000000000006"/>
    <n v="1"/>
    <n v="20.6"/>
  </r>
  <r>
    <x v="1"/>
    <x v="3"/>
    <n v="80.099999999999994"/>
    <n v="0.6"/>
    <n v="19.3"/>
  </r>
  <r>
    <x v="1"/>
    <x v="4"/>
    <n v="81"/>
    <n v="0.6"/>
    <n v="18.399999999999999"/>
  </r>
  <r>
    <x v="1"/>
    <x v="5"/>
    <n v="61.4"/>
    <n v="0.5"/>
    <n v="38.1"/>
  </r>
  <r>
    <x v="1"/>
    <x v="6"/>
    <n v="81.2"/>
    <n v="0.7"/>
    <n v="18"/>
  </r>
  <r>
    <x v="2"/>
    <x v="0"/>
    <n v="49.3"/>
    <m/>
    <n v="50.7"/>
  </r>
  <r>
    <x v="2"/>
    <x v="1"/>
    <n v="69.599999999999994"/>
    <n v="1.1000000000000001"/>
    <n v="29.3"/>
  </r>
  <r>
    <x v="2"/>
    <x v="2"/>
    <n v="55.2"/>
    <n v="1"/>
    <n v="43.8"/>
  </r>
  <r>
    <x v="2"/>
    <x v="3"/>
    <n v="61.1"/>
    <n v="0.8"/>
    <n v="38.1"/>
  </r>
  <r>
    <x v="2"/>
    <x v="4"/>
    <n v="62.5"/>
    <n v="0.8"/>
    <n v="36.700000000000003"/>
  </r>
  <r>
    <x v="2"/>
    <x v="5"/>
    <n v="30.1"/>
    <n v="0.6"/>
    <n v="69.400000000000006"/>
  </r>
  <r>
    <x v="2"/>
    <x v="6"/>
    <n v="59.8"/>
    <n v="0.6"/>
    <n v="39.6"/>
  </r>
  <r>
    <x v="3"/>
    <x v="0"/>
    <n v="63"/>
    <n v="0.4"/>
    <n v="36.5"/>
  </r>
  <r>
    <x v="3"/>
    <x v="1"/>
    <n v="67"/>
    <n v="0.1"/>
    <n v="32.799999999999997"/>
  </r>
  <r>
    <x v="3"/>
    <x v="2"/>
    <n v="53.7"/>
    <n v="1.2"/>
    <n v="45.1"/>
  </r>
  <r>
    <x v="3"/>
    <x v="3"/>
    <n v="60.2"/>
    <n v="0.5"/>
    <n v="39.299999999999997"/>
  </r>
  <r>
    <x v="3"/>
    <x v="4"/>
    <n v="61.8"/>
    <n v="0.5"/>
    <n v="37.700000000000003"/>
  </r>
  <r>
    <x v="3"/>
    <x v="5"/>
    <n v="26.7"/>
    <n v="0.5"/>
    <n v="72.8"/>
  </r>
  <r>
    <x v="3"/>
    <x v="6"/>
    <n v="59.5"/>
    <n v="0.6"/>
    <n v="39.9"/>
  </r>
  <r>
    <x v="4"/>
    <x v="0"/>
    <n v="64"/>
    <n v="0.5"/>
    <n v="35.5"/>
  </r>
  <r>
    <x v="4"/>
    <x v="1"/>
    <n v="60"/>
    <n v="0.6"/>
    <n v="39.4"/>
  </r>
  <r>
    <x v="4"/>
    <x v="2"/>
    <n v="53.4"/>
    <n v="0.8"/>
    <n v="45.8"/>
  </r>
  <r>
    <x v="4"/>
    <x v="3"/>
    <n v="55.3"/>
    <n v="0.6"/>
    <n v="44.1"/>
  </r>
  <r>
    <x v="4"/>
    <x v="4"/>
    <n v="56.3"/>
    <n v="0.6"/>
    <n v="43.1"/>
  </r>
  <r>
    <x v="4"/>
    <x v="5"/>
    <n v="32.5"/>
    <n v="0.9"/>
    <n v="66.7"/>
  </r>
  <r>
    <x v="4"/>
    <x v="6"/>
    <n v="53.7"/>
    <n v="0.5"/>
    <n v="45.7"/>
  </r>
  <r>
    <x v="5"/>
    <x v="0"/>
    <n v="55.8"/>
    <n v="0.6"/>
    <n v="43.6"/>
  </r>
  <r>
    <x v="5"/>
    <x v="1"/>
    <n v="58"/>
    <n v="0.6"/>
    <n v="41.4"/>
  </r>
  <r>
    <x v="5"/>
    <x v="2"/>
    <n v="53.9"/>
    <n v="0.6"/>
    <n v="45.5"/>
  </r>
  <r>
    <x v="5"/>
    <x v="3"/>
    <n v="53.7"/>
    <n v="0.6"/>
    <n v="45.7"/>
  </r>
  <r>
    <x v="5"/>
    <x v="4"/>
    <n v="54.2"/>
    <n v="0.6"/>
    <n v="45.2"/>
  </r>
  <r>
    <x v="5"/>
    <x v="5"/>
    <n v="42.7"/>
    <n v="0.3"/>
    <n v="57"/>
  </r>
  <r>
    <x v="5"/>
    <x v="6"/>
    <n v="51.2"/>
    <n v="0.5"/>
    <n v="48.3"/>
  </r>
  <r>
    <x v="6"/>
    <x v="0"/>
    <n v="52.9"/>
    <n v="0.5"/>
    <n v="46.6"/>
  </r>
  <r>
    <x v="6"/>
    <x v="1"/>
    <n v="65.900000000000006"/>
    <n v="1.2"/>
    <n v="32.9"/>
  </r>
  <r>
    <x v="6"/>
    <x v="2"/>
    <n v="61.2"/>
    <n v="1.4"/>
    <n v="37.4"/>
  </r>
  <r>
    <x v="6"/>
    <x v="3"/>
    <n v="59.2"/>
    <n v="1.2"/>
    <n v="39.6"/>
  </r>
  <r>
    <x v="6"/>
    <x v="4"/>
    <n v="60.2"/>
    <n v="1.2"/>
    <n v="38.6"/>
  </r>
  <r>
    <x v="6"/>
    <x v="5"/>
    <n v="37.299999999999997"/>
    <n v="0.6"/>
    <n v="62"/>
  </r>
  <r>
    <x v="6"/>
    <x v="6"/>
    <n v="55.7"/>
    <n v="1.2"/>
    <n v="43.1"/>
  </r>
  <r>
    <x v="7"/>
    <x v="0"/>
    <n v="53.6"/>
    <n v="1"/>
    <n v="45.4"/>
  </r>
  <r>
    <x v="7"/>
    <x v="1"/>
    <n v="67.599999999999994"/>
    <n v="1.1000000000000001"/>
    <n v="31.3"/>
  </r>
  <r>
    <x v="7"/>
    <x v="2"/>
    <n v="68.099999999999994"/>
    <n v="1.8"/>
    <n v="30.2"/>
  </r>
  <r>
    <x v="7"/>
    <x v="3"/>
    <n v="62.7"/>
    <n v="1.2"/>
    <n v="36.1"/>
  </r>
  <r>
    <x v="7"/>
    <x v="4"/>
    <n v="63.8"/>
    <n v="1.2"/>
    <n v="35"/>
  </r>
  <r>
    <x v="7"/>
    <x v="5"/>
    <n v="36.299999999999997"/>
    <n v="0.6"/>
    <n v="63.1"/>
  </r>
  <r>
    <x v="7"/>
    <x v="6"/>
    <n v="60.4"/>
    <n v="1.2"/>
    <n v="38.4"/>
  </r>
</pivotCacheRecords>
</file>

<file path=xl/pivotCache/pivotCacheRecords14.xml><?xml version="1.0" encoding="utf-8"?>
<pivotCacheRecords xmlns="http://schemas.openxmlformats.org/spreadsheetml/2006/main" xmlns:r="http://schemas.openxmlformats.org/officeDocument/2006/relationships" count="32">
  <r>
    <x v="0"/>
    <x v="0"/>
    <s v="S12000033"/>
    <n v="4"/>
    <n v="1"/>
    <m/>
    <n v="3"/>
    <m/>
    <m/>
  </r>
  <r>
    <x v="0"/>
    <x v="1"/>
    <s v="S12000034"/>
    <n v="24"/>
    <n v="23"/>
    <m/>
    <m/>
    <m/>
    <n v="1"/>
  </r>
  <r>
    <x v="0"/>
    <x v="2"/>
    <s v="S12000041"/>
    <n v="6"/>
    <n v="5"/>
    <m/>
    <m/>
    <m/>
    <n v="1"/>
  </r>
  <r>
    <x v="0"/>
    <x v="3"/>
    <s v="S12000035"/>
    <n v="39"/>
    <n v="12"/>
    <n v="25"/>
    <m/>
    <m/>
    <n v="2"/>
  </r>
  <r>
    <x v="0"/>
    <x v="4"/>
    <s v="S12000036"/>
    <n v="8"/>
    <n v="1"/>
    <m/>
    <n v="7"/>
    <m/>
    <m/>
  </r>
  <r>
    <x v="0"/>
    <x v="5"/>
    <s v="S12000005"/>
    <n v="2"/>
    <n v="1"/>
    <m/>
    <m/>
    <m/>
    <n v="1"/>
  </r>
  <r>
    <x v="0"/>
    <x v="6"/>
    <s v="S12000006"/>
    <n v="17"/>
    <n v="15"/>
    <n v="1"/>
    <m/>
    <m/>
    <n v="1"/>
  </r>
  <r>
    <x v="0"/>
    <x v="7"/>
    <s v="S12000042"/>
    <n v="4"/>
    <m/>
    <m/>
    <n v="3"/>
    <m/>
    <n v="1"/>
  </r>
  <r>
    <x v="0"/>
    <x v="8"/>
    <s v="S12000008"/>
    <n v="8"/>
    <n v="7"/>
    <m/>
    <n v="1"/>
    <m/>
    <m/>
  </r>
  <r>
    <x v="0"/>
    <x v="9"/>
    <s v="S12000045"/>
    <n v="3"/>
    <m/>
    <m/>
    <n v="3"/>
    <m/>
    <m/>
  </r>
  <r>
    <x v="0"/>
    <x v="10"/>
    <s v="S12000010"/>
    <n v="6"/>
    <n v="5"/>
    <m/>
    <n v="1"/>
    <m/>
    <m/>
  </r>
  <r>
    <x v="0"/>
    <x v="11"/>
    <s v="S12000011"/>
    <n v="2"/>
    <m/>
    <m/>
    <n v="2"/>
    <m/>
    <m/>
  </r>
  <r>
    <x v="0"/>
    <x v="12"/>
    <s v="S12000014"/>
    <n v="5"/>
    <n v="2"/>
    <m/>
    <m/>
    <m/>
    <n v="3"/>
  </r>
  <r>
    <x v="0"/>
    <x v="13"/>
    <s v="S12000047"/>
    <n v="13"/>
    <n v="8"/>
    <m/>
    <n v="5"/>
    <m/>
    <m/>
  </r>
  <r>
    <x v="0"/>
    <x v="14"/>
    <s v="S12000046"/>
    <n v="11"/>
    <m/>
    <m/>
    <n v="11"/>
    <m/>
    <m/>
  </r>
  <r>
    <x v="0"/>
    <x v="15"/>
    <s v="S12000017"/>
    <n v="61"/>
    <n v="51"/>
    <n v="9"/>
    <m/>
    <m/>
    <n v="1"/>
  </r>
  <r>
    <x v="0"/>
    <x v="16"/>
    <s v="S12000018"/>
    <n v="3"/>
    <n v="1"/>
    <m/>
    <m/>
    <m/>
    <n v="2"/>
  </r>
  <r>
    <x v="0"/>
    <x v="17"/>
    <s v="S12000019"/>
    <n v="2"/>
    <n v="1"/>
    <m/>
    <n v="1"/>
    <m/>
    <m/>
  </r>
  <r>
    <x v="0"/>
    <x v="18"/>
    <s v="S12000020"/>
    <n v="11"/>
    <n v="10"/>
    <m/>
    <m/>
    <m/>
    <n v="1"/>
  </r>
  <r>
    <x v="0"/>
    <x v="19"/>
    <s v="S12000013"/>
    <n v="14"/>
    <n v="14"/>
    <m/>
    <m/>
    <m/>
    <m/>
  </r>
  <r>
    <x v="0"/>
    <x v="20"/>
    <s v="S12000021"/>
    <n v="14"/>
    <n v="8"/>
    <n v="3"/>
    <n v="1"/>
    <m/>
    <n v="2"/>
  </r>
  <r>
    <x v="0"/>
    <x v="21"/>
    <s v="S12000044"/>
    <n v="7"/>
    <n v="3"/>
    <m/>
    <n v="4"/>
    <m/>
    <m/>
  </r>
  <r>
    <x v="0"/>
    <x v="22"/>
    <s v="S12000023"/>
    <n v="12"/>
    <n v="12"/>
    <m/>
    <m/>
    <m/>
    <m/>
  </r>
  <r>
    <x v="0"/>
    <x v="23"/>
    <s v="S12000024"/>
    <n v="14"/>
    <n v="10"/>
    <n v="3"/>
    <n v="1"/>
    <m/>
    <m/>
  </r>
  <r>
    <x v="0"/>
    <x v="24"/>
    <s v="S12000038"/>
    <n v="3"/>
    <m/>
    <m/>
    <n v="2"/>
    <m/>
    <n v="1"/>
  </r>
  <r>
    <x v="0"/>
    <x v="25"/>
    <s v="S12000026"/>
    <n v="13"/>
    <n v="11"/>
    <m/>
    <m/>
    <m/>
    <n v="2"/>
  </r>
  <r>
    <x v="0"/>
    <x v="26"/>
    <s v="S12000027"/>
    <n v="14"/>
    <n v="14"/>
    <m/>
    <m/>
    <m/>
    <m/>
  </r>
  <r>
    <x v="0"/>
    <x v="27"/>
    <s v="S12000028"/>
    <n v="5"/>
    <n v="4"/>
    <m/>
    <m/>
    <m/>
    <n v="1"/>
  </r>
  <r>
    <x v="0"/>
    <x v="28"/>
    <s v="S12000029"/>
    <n v="12"/>
    <n v="7"/>
    <n v="1"/>
    <n v="3"/>
    <m/>
    <n v="1"/>
  </r>
  <r>
    <x v="0"/>
    <x v="29"/>
    <s v="S12000030"/>
    <n v="10"/>
    <n v="9"/>
    <m/>
    <n v="1"/>
    <m/>
    <m/>
  </r>
  <r>
    <x v="0"/>
    <x v="30"/>
    <s v="S12000039"/>
    <n v="3"/>
    <n v="1"/>
    <m/>
    <n v="1"/>
    <m/>
    <n v="1"/>
  </r>
  <r>
    <x v="0"/>
    <x v="31"/>
    <s v="S12000040"/>
    <n v="6"/>
    <n v="4"/>
    <m/>
    <m/>
    <n v="1"/>
    <n v="1"/>
  </r>
</pivotCacheRecords>
</file>

<file path=xl/pivotCache/pivotCacheRecords15.xml><?xml version="1.0" encoding="utf-8"?>
<pivotCacheRecords xmlns="http://schemas.openxmlformats.org/spreadsheetml/2006/main" xmlns:r="http://schemas.openxmlformats.org/officeDocument/2006/relationships" count="160">
  <r>
    <x v="0"/>
    <s v="S12000033"/>
    <x v="0"/>
    <n v="369"/>
    <n v="71"/>
    <n v="1"/>
    <n v="4"/>
    <n v="164"/>
    <n v="4"/>
    <n v="2"/>
    <n v="72"/>
    <n v="27"/>
    <n v="2"/>
    <n v="6"/>
    <n v="3"/>
    <n v="6"/>
    <m/>
    <n v="1"/>
    <n v="6"/>
  </r>
  <r>
    <x v="0"/>
    <s v="S12000033"/>
    <x v="1"/>
    <n v="315"/>
    <n v="41"/>
    <m/>
    <n v="5"/>
    <n v="192"/>
    <n v="23"/>
    <n v="2"/>
    <n v="25"/>
    <n v="10"/>
    <n v="1"/>
    <n v="7"/>
    <n v="2"/>
    <n v="5"/>
    <m/>
    <n v="1"/>
    <n v="1"/>
  </r>
  <r>
    <x v="0"/>
    <s v="S12000033"/>
    <x v="2"/>
    <n v="435"/>
    <n v="103"/>
    <n v="2"/>
    <m/>
    <n v="219"/>
    <n v="21"/>
    <n v="2"/>
    <n v="50"/>
    <n v="10"/>
    <n v="5"/>
    <n v="6"/>
    <n v="4"/>
    <n v="2"/>
    <n v="1"/>
    <n v="4"/>
    <n v="6"/>
  </r>
  <r>
    <x v="0"/>
    <s v="S12000033"/>
    <x v="3"/>
    <n v="315"/>
    <n v="46"/>
    <n v="6"/>
    <n v="3"/>
    <n v="170"/>
    <n v="13"/>
    <n v="1"/>
    <n v="35"/>
    <n v="9"/>
    <n v="5"/>
    <n v="6"/>
    <n v="1"/>
    <n v="4"/>
    <n v="1"/>
    <n v="3"/>
    <n v="12"/>
  </r>
  <r>
    <x v="0"/>
    <s v="S12000033"/>
    <x v="4"/>
    <n v="364"/>
    <n v="113"/>
    <n v="7"/>
    <n v="5"/>
    <n v="136"/>
    <n v="22"/>
    <n v="2"/>
    <n v="32"/>
    <n v="5"/>
    <n v="6"/>
    <n v="6"/>
    <n v="1"/>
    <n v="8"/>
    <n v="2"/>
    <n v="9"/>
    <n v="10"/>
  </r>
  <r>
    <x v="1"/>
    <s v="S12000034"/>
    <x v="0"/>
    <n v="267"/>
    <n v="79"/>
    <n v="2"/>
    <m/>
    <n v="48"/>
    <n v="11"/>
    <m/>
    <n v="59"/>
    <n v="14"/>
    <n v="6"/>
    <n v="1"/>
    <n v="28"/>
    <n v="2"/>
    <m/>
    <n v="16"/>
    <n v="1"/>
  </r>
  <r>
    <x v="1"/>
    <s v="S12000034"/>
    <x v="1"/>
    <n v="373"/>
    <n v="109"/>
    <n v="15"/>
    <m/>
    <n v="44"/>
    <n v="13"/>
    <n v="2"/>
    <n v="106"/>
    <n v="24"/>
    <n v="5"/>
    <n v="8"/>
    <n v="38"/>
    <n v="6"/>
    <m/>
    <n v="3"/>
    <m/>
  </r>
  <r>
    <x v="1"/>
    <s v="S12000034"/>
    <x v="2"/>
    <n v="362"/>
    <n v="89"/>
    <n v="8"/>
    <m/>
    <n v="41"/>
    <n v="25"/>
    <n v="2"/>
    <n v="59"/>
    <n v="12"/>
    <n v="2"/>
    <n v="3"/>
    <n v="54"/>
    <n v="3"/>
    <m/>
    <n v="62"/>
    <n v="2"/>
  </r>
  <r>
    <x v="1"/>
    <s v="S12000034"/>
    <x v="3"/>
    <n v="344"/>
    <n v="92"/>
    <n v="15"/>
    <n v="1"/>
    <n v="39"/>
    <n v="15"/>
    <m/>
    <n v="72"/>
    <n v="10"/>
    <n v="11"/>
    <n v="8"/>
    <n v="52"/>
    <n v="5"/>
    <n v="6"/>
    <n v="8"/>
    <n v="10"/>
  </r>
  <r>
    <x v="1"/>
    <s v="S12000034"/>
    <x v="4"/>
    <n v="373"/>
    <n v="88"/>
    <n v="21"/>
    <n v="3"/>
    <n v="48"/>
    <n v="26"/>
    <n v="7"/>
    <n v="73"/>
    <n v="13"/>
    <n v="13"/>
    <n v="4"/>
    <n v="48"/>
    <n v="5"/>
    <n v="3"/>
    <n v="8"/>
    <n v="13"/>
  </r>
  <r>
    <x v="2"/>
    <s v="S12000041"/>
    <x v="0"/>
    <n v="206"/>
    <n v="38"/>
    <n v="25"/>
    <m/>
    <n v="6"/>
    <n v="13"/>
    <n v="1"/>
    <n v="27"/>
    <n v="34"/>
    <n v="13"/>
    <n v="20"/>
    <n v="9"/>
    <n v="9"/>
    <n v="2"/>
    <n v="4"/>
    <n v="5"/>
  </r>
  <r>
    <x v="2"/>
    <s v="S12000041"/>
    <x v="1"/>
    <n v="174"/>
    <n v="36"/>
    <n v="8"/>
    <m/>
    <n v="4"/>
    <n v="8"/>
    <m/>
    <n v="12"/>
    <n v="39"/>
    <n v="8"/>
    <n v="19"/>
    <n v="27"/>
    <n v="3"/>
    <m/>
    <n v="7"/>
    <n v="3"/>
  </r>
  <r>
    <x v="2"/>
    <s v="S12000041"/>
    <x v="2"/>
    <n v="99"/>
    <n v="35"/>
    <n v="2"/>
    <m/>
    <n v="9"/>
    <n v="1"/>
    <m/>
    <n v="12"/>
    <n v="8"/>
    <n v="2"/>
    <n v="7"/>
    <n v="11"/>
    <n v="5"/>
    <m/>
    <n v="1"/>
    <n v="6"/>
  </r>
  <r>
    <x v="2"/>
    <s v="S12000041"/>
    <x v="3"/>
    <n v="119"/>
    <n v="35"/>
    <n v="3"/>
    <m/>
    <n v="4"/>
    <n v="15"/>
    <n v="1"/>
    <n v="19"/>
    <n v="12"/>
    <m/>
    <n v="7"/>
    <n v="16"/>
    <n v="2"/>
    <n v="2"/>
    <m/>
    <n v="3"/>
  </r>
  <r>
    <x v="2"/>
    <s v="S12000041"/>
    <x v="4"/>
    <n v="126"/>
    <n v="39"/>
    <n v="2"/>
    <n v="1"/>
    <n v="6"/>
    <n v="6"/>
    <m/>
    <n v="14"/>
    <n v="17"/>
    <n v="3"/>
    <n v="13"/>
    <n v="6"/>
    <n v="7"/>
    <n v="5"/>
    <n v="4"/>
    <n v="3"/>
  </r>
  <r>
    <x v="3"/>
    <s v="S12000035"/>
    <x v="0"/>
    <n v="253"/>
    <n v="27"/>
    <n v="3"/>
    <n v="2"/>
    <n v="2"/>
    <n v="5"/>
    <n v="5"/>
    <n v="101"/>
    <n v="9"/>
    <n v="4"/>
    <n v="2"/>
    <n v="24"/>
    <n v="18"/>
    <n v="2"/>
    <n v="36"/>
    <n v="13"/>
  </r>
  <r>
    <x v="3"/>
    <s v="S12000035"/>
    <x v="1"/>
    <n v="341"/>
    <n v="32"/>
    <n v="11"/>
    <n v="1"/>
    <n v="19"/>
    <n v="11"/>
    <n v="12"/>
    <n v="176"/>
    <n v="3"/>
    <n v="6"/>
    <n v="6"/>
    <n v="30"/>
    <n v="4"/>
    <n v="2"/>
    <n v="10"/>
    <n v="18"/>
  </r>
  <r>
    <x v="3"/>
    <s v="S12000035"/>
    <x v="2"/>
    <n v="331"/>
    <n v="29"/>
    <n v="8"/>
    <m/>
    <n v="32"/>
    <n v="6"/>
    <n v="15"/>
    <n v="146"/>
    <n v="11"/>
    <n v="9"/>
    <n v="6"/>
    <n v="41"/>
    <n v="3"/>
    <n v="4"/>
    <n v="6"/>
    <n v="15"/>
  </r>
  <r>
    <x v="3"/>
    <s v="S12000035"/>
    <x v="3"/>
    <n v="185"/>
    <n v="22"/>
    <n v="3"/>
    <m/>
    <n v="25"/>
    <n v="5"/>
    <n v="4"/>
    <n v="62"/>
    <n v="4"/>
    <n v="3"/>
    <n v="5"/>
    <n v="38"/>
    <n v="5"/>
    <m/>
    <n v="4"/>
    <n v="5"/>
  </r>
  <r>
    <x v="3"/>
    <s v="S12000035"/>
    <x v="4"/>
    <n v="220"/>
    <n v="35"/>
    <n v="8"/>
    <n v="1"/>
    <n v="34"/>
    <n v="3"/>
    <n v="4"/>
    <n v="60"/>
    <n v="5"/>
    <n v="5"/>
    <n v="5"/>
    <n v="40"/>
    <n v="6"/>
    <m/>
    <n v="2"/>
    <n v="12"/>
  </r>
  <r>
    <x v="4"/>
    <s v="S12000036"/>
    <x v="0"/>
    <n v="956"/>
    <n v="127"/>
    <n v="15"/>
    <n v="3"/>
    <n v="134"/>
    <n v="40"/>
    <n v="69"/>
    <n v="105"/>
    <n v="127"/>
    <n v="43"/>
    <n v="108"/>
    <n v="42"/>
    <n v="19"/>
    <n v="7"/>
    <n v="28"/>
    <n v="89"/>
  </r>
  <r>
    <x v="4"/>
    <s v="S12000036"/>
    <x v="1"/>
    <n v="857"/>
    <n v="123"/>
    <n v="7"/>
    <n v="4"/>
    <n v="178"/>
    <n v="35"/>
    <n v="33"/>
    <n v="141"/>
    <n v="80"/>
    <n v="52"/>
    <n v="65"/>
    <n v="29"/>
    <n v="11"/>
    <n v="5"/>
    <n v="20"/>
    <n v="74"/>
  </r>
  <r>
    <x v="4"/>
    <s v="S12000036"/>
    <x v="2"/>
    <n v="783"/>
    <n v="110"/>
    <n v="1"/>
    <n v="2"/>
    <n v="211"/>
    <n v="27"/>
    <n v="30"/>
    <n v="110"/>
    <n v="109"/>
    <n v="22"/>
    <n v="27"/>
    <n v="22"/>
    <n v="4"/>
    <n v="5"/>
    <n v="24"/>
    <n v="79"/>
  </r>
  <r>
    <x v="4"/>
    <s v="S12000036"/>
    <x v="3"/>
    <n v="744"/>
    <n v="134"/>
    <n v="4"/>
    <n v="6"/>
    <n v="183"/>
    <n v="45"/>
    <n v="17"/>
    <n v="115"/>
    <n v="55"/>
    <n v="22"/>
    <n v="47"/>
    <n v="58"/>
    <n v="10"/>
    <n v="3"/>
    <n v="18"/>
    <n v="27"/>
  </r>
  <r>
    <x v="4"/>
    <s v="S12000036"/>
    <x v="4"/>
    <n v="714"/>
    <n v="120"/>
    <n v="7"/>
    <n v="2"/>
    <n v="142"/>
    <n v="66"/>
    <n v="21"/>
    <n v="112"/>
    <n v="85"/>
    <n v="41"/>
    <n v="40"/>
    <n v="23"/>
    <n v="8"/>
    <n v="5"/>
    <n v="16"/>
    <n v="26"/>
  </r>
  <r>
    <x v="5"/>
    <s v="S12000005"/>
    <x v="0"/>
    <n v="44"/>
    <n v="22"/>
    <n v="1"/>
    <m/>
    <n v="2"/>
    <m/>
    <m/>
    <n v="5"/>
    <n v="1"/>
    <n v="3"/>
    <n v="1"/>
    <n v="4"/>
    <m/>
    <m/>
    <n v="3"/>
    <n v="2"/>
  </r>
  <r>
    <x v="5"/>
    <s v="S12000005"/>
    <x v="1"/>
    <n v="51"/>
    <n v="22"/>
    <n v="2"/>
    <m/>
    <n v="3"/>
    <n v="12"/>
    <m/>
    <n v="2"/>
    <m/>
    <n v="5"/>
    <n v="2"/>
    <n v="2"/>
    <m/>
    <n v="1"/>
    <m/>
    <m/>
  </r>
  <r>
    <x v="5"/>
    <s v="S12000005"/>
    <x v="2"/>
    <n v="68"/>
    <n v="19"/>
    <m/>
    <m/>
    <n v="2"/>
    <n v="15"/>
    <n v="2"/>
    <n v="2"/>
    <n v="2"/>
    <n v="6"/>
    <n v="3"/>
    <n v="1"/>
    <m/>
    <m/>
    <n v="10"/>
    <n v="6"/>
  </r>
  <r>
    <x v="5"/>
    <s v="S12000005"/>
    <x v="3"/>
    <n v="64"/>
    <n v="19"/>
    <n v="3"/>
    <n v="1"/>
    <n v="5"/>
    <n v="1"/>
    <m/>
    <n v="6"/>
    <n v="1"/>
    <n v="2"/>
    <n v="1"/>
    <n v="1"/>
    <m/>
    <m/>
    <n v="23"/>
    <n v="1"/>
  </r>
  <r>
    <x v="5"/>
    <s v="S12000005"/>
    <x v="4"/>
    <n v="70"/>
    <n v="22"/>
    <n v="7"/>
    <m/>
    <n v="8"/>
    <n v="5"/>
    <n v="2"/>
    <n v="3"/>
    <n v="1"/>
    <n v="2"/>
    <n v="1"/>
    <n v="2"/>
    <m/>
    <m/>
    <n v="17"/>
    <m/>
  </r>
  <r>
    <x v="6"/>
    <s v="S12000006"/>
    <x v="0"/>
    <n v="213"/>
    <n v="38"/>
    <n v="12"/>
    <n v="1"/>
    <n v="29"/>
    <n v="7"/>
    <n v="3"/>
    <n v="58"/>
    <n v="12"/>
    <n v="9"/>
    <n v="17"/>
    <n v="1"/>
    <n v="2"/>
    <n v="2"/>
    <n v="1"/>
    <n v="21"/>
  </r>
  <r>
    <x v="6"/>
    <s v="S12000006"/>
    <x v="1"/>
    <n v="296"/>
    <n v="91"/>
    <n v="19"/>
    <n v="1"/>
    <n v="27"/>
    <n v="10"/>
    <n v="3"/>
    <n v="82"/>
    <n v="9"/>
    <n v="7"/>
    <n v="15"/>
    <n v="7"/>
    <n v="3"/>
    <n v="1"/>
    <n v="11"/>
    <n v="10"/>
  </r>
  <r>
    <x v="6"/>
    <s v="S12000006"/>
    <x v="2"/>
    <n v="363"/>
    <n v="76"/>
    <n v="22"/>
    <n v="2"/>
    <n v="44"/>
    <n v="11"/>
    <n v="6"/>
    <n v="110"/>
    <n v="5"/>
    <n v="19"/>
    <n v="8"/>
    <n v="10"/>
    <n v="7"/>
    <n v="7"/>
    <n v="18"/>
    <n v="18"/>
  </r>
  <r>
    <x v="6"/>
    <s v="S12000006"/>
    <x v="3"/>
    <n v="379"/>
    <n v="88"/>
    <n v="30"/>
    <m/>
    <n v="39"/>
    <n v="18"/>
    <n v="8"/>
    <n v="86"/>
    <n v="15"/>
    <n v="9"/>
    <n v="15"/>
    <n v="7"/>
    <n v="7"/>
    <n v="12"/>
    <n v="10"/>
    <n v="35"/>
  </r>
  <r>
    <x v="6"/>
    <s v="S12000006"/>
    <x v="4"/>
    <n v="440"/>
    <n v="77"/>
    <n v="17"/>
    <n v="5"/>
    <n v="32"/>
    <n v="12"/>
    <n v="7"/>
    <n v="86"/>
    <n v="17"/>
    <n v="34"/>
    <n v="29"/>
    <n v="16"/>
    <n v="13"/>
    <n v="10"/>
    <n v="55"/>
    <n v="30"/>
  </r>
  <r>
    <x v="7"/>
    <s v="S12000042"/>
    <x v="0"/>
    <n v="460"/>
    <n v="40"/>
    <m/>
    <m/>
    <n v="315"/>
    <n v="37"/>
    <n v="1"/>
    <n v="34"/>
    <n v="23"/>
    <n v="1"/>
    <n v="3"/>
    <n v="2"/>
    <m/>
    <m/>
    <n v="1"/>
    <n v="3"/>
  </r>
  <r>
    <x v="7"/>
    <s v="S12000042"/>
    <x v="1"/>
    <n v="598"/>
    <n v="38"/>
    <n v="1"/>
    <m/>
    <n v="489"/>
    <n v="19"/>
    <m/>
    <n v="3"/>
    <n v="21"/>
    <n v="1"/>
    <n v="13"/>
    <m/>
    <n v="3"/>
    <n v="1"/>
    <n v="2"/>
    <n v="7"/>
  </r>
  <r>
    <x v="7"/>
    <s v="S12000042"/>
    <x v="2"/>
    <n v="656"/>
    <n v="37"/>
    <n v="3"/>
    <n v="1"/>
    <n v="570"/>
    <n v="3"/>
    <n v="1"/>
    <n v="28"/>
    <n v="5"/>
    <m/>
    <n v="4"/>
    <m/>
    <m/>
    <m/>
    <n v="2"/>
    <n v="2"/>
  </r>
  <r>
    <x v="7"/>
    <s v="S12000042"/>
    <x v="3"/>
    <n v="306"/>
    <n v="36"/>
    <n v="2"/>
    <n v="2"/>
    <n v="195"/>
    <n v="9"/>
    <n v="1"/>
    <n v="41"/>
    <n v="5"/>
    <n v="2"/>
    <n v="2"/>
    <n v="4"/>
    <m/>
    <n v="1"/>
    <n v="1"/>
    <n v="5"/>
  </r>
  <r>
    <x v="7"/>
    <s v="S12000042"/>
    <x v="4"/>
    <n v="381"/>
    <n v="39"/>
    <n v="1"/>
    <m/>
    <n v="280"/>
    <n v="14"/>
    <n v="2"/>
    <n v="15"/>
    <n v="10"/>
    <n v="1"/>
    <n v="4"/>
    <m/>
    <n v="4"/>
    <m/>
    <n v="6"/>
    <n v="5"/>
  </r>
  <r>
    <x v="8"/>
    <s v="S12000008"/>
    <x v="0"/>
    <n v="153"/>
    <n v="30"/>
    <n v="13"/>
    <m/>
    <n v="19"/>
    <n v="10"/>
    <m/>
    <n v="22"/>
    <n v="11"/>
    <n v="7"/>
    <n v="11"/>
    <m/>
    <n v="4"/>
    <m/>
    <n v="5"/>
    <n v="21"/>
  </r>
  <r>
    <x v="8"/>
    <s v="S12000008"/>
    <x v="1"/>
    <n v="143"/>
    <n v="57"/>
    <n v="3"/>
    <m/>
    <n v="3"/>
    <n v="8"/>
    <m/>
    <n v="28"/>
    <n v="6"/>
    <n v="12"/>
    <n v="3"/>
    <n v="2"/>
    <n v="1"/>
    <n v="1"/>
    <n v="3"/>
    <n v="16"/>
  </r>
  <r>
    <x v="8"/>
    <s v="S12000008"/>
    <x v="2"/>
    <n v="164"/>
    <n v="46"/>
    <n v="22"/>
    <m/>
    <n v="9"/>
    <n v="6"/>
    <m/>
    <n v="24"/>
    <n v="4"/>
    <n v="6"/>
    <n v="7"/>
    <n v="9"/>
    <n v="4"/>
    <n v="2"/>
    <n v="2"/>
    <n v="23"/>
  </r>
  <r>
    <x v="8"/>
    <s v="S12000008"/>
    <x v="3"/>
    <n v="165"/>
    <n v="59"/>
    <n v="10"/>
    <n v="2"/>
    <n v="8"/>
    <n v="5"/>
    <m/>
    <n v="25"/>
    <n v="4"/>
    <n v="12"/>
    <n v="7"/>
    <n v="7"/>
    <n v="2"/>
    <m/>
    <n v="15"/>
    <n v="9"/>
  </r>
  <r>
    <x v="8"/>
    <s v="S12000008"/>
    <x v="4"/>
    <n v="145"/>
    <n v="57"/>
    <n v="7"/>
    <m/>
    <n v="7"/>
    <n v="3"/>
    <m/>
    <n v="24"/>
    <n v="9"/>
    <n v="3"/>
    <n v="6"/>
    <n v="8"/>
    <n v="2"/>
    <m/>
    <n v="8"/>
    <n v="11"/>
  </r>
  <r>
    <x v="9"/>
    <s v="S12000045"/>
    <x v="0"/>
    <n v="54"/>
    <n v="18"/>
    <n v="4"/>
    <m/>
    <n v="1"/>
    <n v="5"/>
    <m/>
    <n v="5"/>
    <n v="2"/>
    <n v="4"/>
    <n v="2"/>
    <n v="1"/>
    <n v="3"/>
    <n v="1"/>
    <n v="2"/>
    <n v="6"/>
  </r>
  <r>
    <x v="9"/>
    <s v="S12000045"/>
    <x v="1"/>
    <n v="95"/>
    <n v="29"/>
    <n v="7"/>
    <m/>
    <n v="24"/>
    <n v="7"/>
    <m/>
    <n v="5"/>
    <n v="2"/>
    <n v="5"/>
    <n v="3"/>
    <n v="1"/>
    <n v="5"/>
    <m/>
    <n v="5"/>
    <n v="2"/>
  </r>
  <r>
    <x v="9"/>
    <s v="S12000045"/>
    <x v="2"/>
    <n v="81"/>
    <n v="28"/>
    <n v="1"/>
    <m/>
    <n v="19"/>
    <n v="11"/>
    <m/>
    <n v="6"/>
    <n v="1"/>
    <n v="1"/>
    <n v="2"/>
    <n v="2"/>
    <n v="5"/>
    <m/>
    <n v="4"/>
    <n v="1"/>
  </r>
  <r>
    <x v="9"/>
    <s v="S12000045"/>
    <x v="3"/>
    <n v="92"/>
    <n v="32"/>
    <n v="1"/>
    <m/>
    <n v="22"/>
    <n v="1"/>
    <m/>
    <n v="7"/>
    <n v="4"/>
    <n v="3"/>
    <n v="5"/>
    <n v="1"/>
    <n v="3"/>
    <n v="3"/>
    <n v="4"/>
    <n v="6"/>
  </r>
  <r>
    <x v="9"/>
    <s v="S12000045"/>
    <x v="4"/>
    <n v="84"/>
    <n v="26"/>
    <m/>
    <n v="2"/>
    <n v="19"/>
    <n v="2"/>
    <m/>
    <n v="5"/>
    <n v="7"/>
    <n v="2"/>
    <n v="4"/>
    <n v="1"/>
    <m/>
    <m/>
    <n v="4"/>
    <n v="12"/>
  </r>
  <r>
    <x v="10"/>
    <s v="S12000010"/>
    <x v="0"/>
    <n v="102"/>
    <n v="22"/>
    <n v="3"/>
    <n v="1"/>
    <n v="24"/>
    <n v="8"/>
    <n v="7"/>
    <n v="6"/>
    <n v="4"/>
    <n v="1"/>
    <n v="12"/>
    <n v="2"/>
    <m/>
    <n v="1"/>
    <n v="5"/>
    <n v="6"/>
  </r>
  <r>
    <x v="10"/>
    <s v="S12000010"/>
    <x v="1"/>
    <n v="156"/>
    <n v="27"/>
    <n v="3"/>
    <n v="1"/>
    <n v="13"/>
    <n v="8"/>
    <n v="9"/>
    <n v="32"/>
    <n v="8"/>
    <n v="4"/>
    <n v="7"/>
    <n v="22"/>
    <n v="5"/>
    <n v="5"/>
    <n v="3"/>
    <n v="9"/>
  </r>
  <r>
    <x v="10"/>
    <s v="S12000010"/>
    <x v="2"/>
    <n v="139"/>
    <n v="27"/>
    <n v="3"/>
    <m/>
    <n v="12"/>
    <n v="8"/>
    <n v="9"/>
    <n v="13"/>
    <n v="9"/>
    <n v="8"/>
    <n v="11"/>
    <n v="5"/>
    <n v="5"/>
    <n v="1"/>
    <n v="20"/>
    <n v="8"/>
  </r>
  <r>
    <x v="10"/>
    <s v="S12000010"/>
    <x v="3"/>
    <n v="144"/>
    <n v="28"/>
    <n v="10"/>
    <m/>
    <n v="12"/>
    <n v="5"/>
    <n v="2"/>
    <n v="11"/>
    <n v="11"/>
    <n v="8"/>
    <n v="16"/>
    <n v="21"/>
    <n v="4"/>
    <n v="1"/>
    <n v="13"/>
    <n v="2"/>
  </r>
  <r>
    <x v="10"/>
    <s v="S12000010"/>
    <x v="4"/>
    <n v="149"/>
    <n v="29"/>
    <n v="5"/>
    <m/>
    <n v="6"/>
    <n v="7"/>
    <n v="9"/>
    <n v="30"/>
    <n v="7"/>
    <n v="9"/>
    <n v="13"/>
    <n v="11"/>
    <n v="2"/>
    <n v="1"/>
    <n v="16"/>
    <n v="4"/>
  </r>
  <r>
    <x v="11"/>
    <s v="S12000011"/>
    <x v="0"/>
    <n v="119"/>
    <n v="14"/>
    <m/>
    <n v="1"/>
    <n v="14"/>
    <n v="1"/>
    <m/>
    <n v="7"/>
    <n v="18"/>
    <n v="11"/>
    <n v="8"/>
    <n v="2"/>
    <n v="8"/>
    <n v="3"/>
    <n v="7"/>
    <n v="25"/>
  </r>
  <r>
    <x v="11"/>
    <s v="S12000011"/>
    <x v="1"/>
    <n v="57"/>
    <n v="10"/>
    <m/>
    <n v="1"/>
    <m/>
    <n v="1"/>
    <m/>
    <n v="5"/>
    <n v="4"/>
    <n v="9"/>
    <n v="1"/>
    <n v="1"/>
    <n v="3"/>
    <m/>
    <n v="4"/>
    <n v="18"/>
  </r>
  <r>
    <x v="11"/>
    <s v="S12000011"/>
    <x v="2"/>
    <n v="80"/>
    <n v="20"/>
    <m/>
    <m/>
    <n v="9"/>
    <n v="1"/>
    <m/>
    <n v="8"/>
    <n v="4"/>
    <n v="14"/>
    <n v="2"/>
    <n v="4"/>
    <n v="4"/>
    <n v="2"/>
    <n v="2"/>
    <n v="10"/>
  </r>
  <r>
    <x v="11"/>
    <s v="S12000011"/>
    <x v="3"/>
    <n v="30"/>
    <n v="16"/>
    <n v="1"/>
    <m/>
    <n v="2"/>
    <n v="1"/>
    <m/>
    <n v="8"/>
    <m/>
    <m/>
    <m/>
    <m/>
    <m/>
    <m/>
    <n v="1"/>
    <n v="1"/>
  </r>
  <r>
    <x v="11"/>
    <s v="S12000011"/>
    <x v="4"/>
    <n v="36"/>
    <n v="15"/>
    <n v="2"/>
    <n v="1"/>
    <m/>
    <n v="1"/>
    <m/>
    <n v="6"/>
    <n v="2"/>
    <m/>
    <n v="3"/>
    <n v="1"/>
    <n v="1"/>
    <n v="1"/>
    <n v="2"/>
    <n v="1"/>
  </r>
  <r>
    <x v="12"/>
    <s v="S12000014"/>
    <x v="0"/>
    <n v="243"/>
    <n v="52"/>
    <n v="30"/>
    <m/>
    <n v="15"/>
    <n v="12"/>
    <n v="1"/>
    <n v="20"/>
    <n v="27"/>
    <n v="10"/>
    <n v="17"/>
    <n v="2"/>
    <n v="10"/>
    <n v="7"/>
    <n v="23"/>
    <n v="17"/>
  </r>
  <r>
    <x v="12"/>
    <s v="S12000014"/>
    <x v="1"/>
    <n v="160"/>
    <n v="45"/>
    <n v="10"/>
    <n v="2"/>
    <n v="8"/>
    <n v="10"/>
    <n v="1"/>
    <n v="18"/>
    <n v="17"/>
    <n v="8"/>
    <n v="7"/>
    <n v="5"/>
    <n v="3"/>
    <n v="4"/>
    <n v="6"/>
    <n v="16"/>
  </r>
  <r>
    <x v="12"/>
    <s v="S12000014"/>
    <x v="2"/>
    <n v="160"/>
    <n v="47"/>
    <n v="16"/>
    <n v="1"/>
    <n v="9"/>
    <n v="8"/>
    <n v="1"/>
    <n v="13"/>
    <n v="9"/>
    <n v="12"/>
    <n v="2"/>
    <n v="2"/>
    <m/>
    <n v="5"/>
    <n v="22"/>
    <n v="13"/>
  </r>
  <r>
    <x v="12"/>
    <s v="S12000014"/>
    <x v="3"/>
    <n v="159"/>
    <n v="41"/>
    <n v="18"/>
    <m/>
    <n v="5"/>
    <n v="14"/>
    <n v="1"/>
    <n v="13"/>
    <n v="11"/>
    <n v="6"/>
    <n v="7"/>
    <m/>
    <n v="3"/>
    <n v="4"/>
    <n v="25"/>
    <n v="11"/>
  </r>
  <r>
    <x v="12"/>
    <s v="S12000014"/>
    <x v="4"/>
    <n v="201"/>
    <n v="46"/>
    <n v="13"/>
    <m/>
    <n v="5"/>
    <n v="24"/>
    <n v="1"/>
    <n v="11"/>
    <n v="19"/>
    <n v="10"/>
    <n v="9"/>
    <n v="18"/>
    <n v="5"/>
    <n v="6"/>
    <n v="26"/>
    <n v="8"/>
  </r>
  <r>
    <x v="13"/>
    <s v="S12000015"/>
    <x v="0"/>
    <n v="498"/>
    <n v="118"/>
    <n v="14"/>
    <n v="2"/>
    <n v="222"/>
    <n v="13"/>
    <n v="1"/>
    <n v="57"/>
    <n v="11"/>
    <n v="10"/>
    <n v="22"/>
    <n v="3"/>
    <n v="5"/>
    <n v="4"/>
    <n v="3"/>
    <n v="13"/>
  </r>
  <r>
    <x v="13"/>
    <s v="S12000015"/>
    <x v="1"/>
    <n v="618"/>
    <n v="137"/>
    <n v="23"/>
    <n v="2"/>
    <n v="272"/>
    <n v="18"/>
    <n v="1"/>
    <n v="61"/>
    <n v="9"/>
    <n v="12"/>
    <n v="18"/>
    <n v="6"/>
    <n v="12"/>
    <n v="4"/>
    <n v="12"/>
    <n v="31"/>
  </r>
  <r>
    <x v="13"/>
    <s v="S12000015"/>
    <x v="2"/>
    <n v="482"/>
    <n v="132"/>
    <n v="11"/>
    <n v="6"/>
    <n v="202"/>
    <n v="24"/>
    <m/>
    <n v="31"/>
    <n v="14"/>
    <n v="9"/>
    <n v="17"/>
    <n v="5"/>
    <n v="7"/>
    <n v="2"/>
    <n v="7"/>
    <n v="15"/>
  </r>
  <r>
    <x v="13"/>
    <s v="S12000015"/>
    <x v="3"/>
    <n v="464"/>
    <n v="138"/>
    <n v="10"/>
    <m/>
    <n v="175"/>
    <n v="13"/>
    <n v="2"/>
    <n v="69"/>
    <n v="8"/>
    <n v="10"/>
    <n v="9"/>
    <n v="7"/>
    <n v="5"/>
    <n v="2"/>
    <n v="5"/>
    <n v="11"/>
  </r>
  <r>
    <x v="13"/>
    <s v="S12000015"/>
    <x v="4"/>
    <n v="657"/>
    <n v="135"/>
    <n v="10"/>
    <m/>
    <n v="214"/>
    <n v="29"/>
    <m/>
    <n v="85"/>
    <n v="12"/>
    <n v="5"/>
    <n v="12"/>
    <n v="10"/>
    <n v="10"/>
    <n v="4"/>
    <n v="122"/>
    <n v="9"/>
  </r>
  <r>
    <x v="14"/>
    <s v="S12000046"/>
    <x v="0"/>
    <n v="1122"/>
    <n v="102"/>
    <n v="54"/>
    <n v="11"/>
    <n v="475"/>
    <n v="41"/>
    <n v="15"/>
    <n v="83"/>
    <n v="98"/>
    <n v="63"/>
    <n v="31"/>
    <n v="1"/>
    <n v="22"/>
    <n v="6"/>
    <n v="27"/>
    <n v="93"/>
  </r>
  <r>
    <x v="14"/>
    <s v="S12000046"/>
    <x v="1"/>
    <n v="1956"/>
    <n v="165"/>
    <n v="24"/>
    <n v="12"/>
    <n v="1115"/>
    <n v="69"/>
    <n v="27"/>
    <n v="88"/>
    <n v="139"/>
    <n v="41"/>
    <n v="33"/>
    <n v="6"/>
    <n v="24"/>
    <n v="5"/>
    <n v="61"/>
    <n v="147"/>
  </r>
  <r>
    <x v="14"/>
    <s v="S12000046"/>
    <x v="2"/>
    <n v="1562"/>
    <n v="148"/>
    <n v="18"/>
    <n v="3"/>
    <n v="958"/>
    <n v="47"/>
    <n v="19"/>
    <n v="99"/>
    <n v="84"/>
    <n v="27"/>
    <n v="24"/>
    <n v="6"/>
    <n v="25"/>
    <n v="7"/>
    <n v="45"/>
    <n v="52"/>
  </r>
  <r>
    <x v="14"/>
    <s v="S12000046"/>
    <x v="3"/>
    <n v="1187"/>
    <n v="109"/>
    <n v="5"/>
    <n v="6"/>
    <n v="831"/>
    <n v="41"/>
    <n v="15"/>
    <n v="81"/>
    <n v="25"/>
    <n v="14"/>
    <n v="9"/>
    <n v="4"/>
    <n v="3"/>
    <n v="5"/>
    <n v="11"/>
    <n v="28"/>
  </r>
  <r>
    <x v="14"/>
    <s v="S12000046"/>
    <x v="4"/>
    <n v="1126"/>
    <n v="127"/>
    <n v="10"/>
    <n v="7"/>
    <n v="602"/>
    <n v="68"/>
    <n v="13"/>
    <n v="102"/>
    <n v="51"/>
    <n v="24"/>
    <n v="26"/>
    <n v="1"/>
    <n v="18"/>
    <n v="2"/>
    <n v="18"/>
    <n v="57"/>
  </r>
  <r>
    <x v="15"/>
    <s v="S12000017"/>
    <x v="0"/>
    <n v="276"/>
    <n v="83"/>
    <n v="5"/>
    <m/>
    <n v="59"/>
    <n v="12"/>
    <n v="10"/>
    <n v="92"/>
    <n v="5"/>
    <m/>
    <m/>
    <n v="5"/>
    <n v="2"/>
    <m/>
    <m/>
    <n v="3"/>
  </r>
  <r>
    <x v="15"/>
    <s v="S12000017"/>
    <x v="1"/>
    <n v="336"/>
    <n v="91"/>
    <n v="2"/>
    <n v="2"/>
    <n v="76"/>
    <n v="17"/>
    <n v="6"/>
    <n v="115"/>
    <n v="8"/>
    <n v="1"/>
    <n v="2"/>
    <n v="7"/>
    <n v="3"/>
    <n v="1"/>
    <m/>
    <n v="5"/>
  </r>
  <r>
    <x v="15"/>
    <s v="S12000017"/>
    <x v="2"/>
    <n v="268"/>
    <n v="93"/>
    <n v="4"/>
    <m/>
    <n v="47"/>
    <n v="18"/>
    <n v="10"/>
    <n v="67"/>
    <n v="8"/>
    <n v="1"/>
    <n v="1"/>
    <n v="9"/>
    <n v="1"/>
    <m/>
    <n v="1"/>
    <n v="8"/>
  </r>
  <r>
    <x v="15"/>
    <s v="S12000017"/>
    <x v="3"/>
    <n v="286"/>
    <n v="79"/>
    <n v="2"/>
    <m/>
    <n v="60"/>
    <n v="12"/>
    <n v="27"/>
    <n v="82"/>
    <n v="4"/>
    <m/>
    <n v="4"/>
    <n v="10"/>
    <n v="2"/>
    <n v="1"/>
    <n v="2"/>
    <n v="1"/>
  </r>
  <r>
    <x v="15"/>
    <s v="S12000017"/>
    <x v="4"/>
    <n v="196"/>
    <n v="81"/>
    <n v="4"/>
    <m/>
    <n v="45"/>
    <n v="15"/>
    <n v="2"/>
    <n v="25"/>
    <n v="5"/>
    <n v="3"/>
    <n v="3"/>
    <n v="3"/>
    <n v="1"/>
    <n v="1"/>
    <n v="4"/>
    <n v="4"/>
  </r>
  <r>
    <x v="16"/>
    <s v="S12000018"/>
    <x v="0"/>
    <n v="147"/>
    <n v="40"/>
    <n v="7"/>
    <n v="1"/>
    <n v="9"/>
    <n v="2"/>
    <m/>
    <n v="4"/>
    <n v="7"/>
    <n v="24"/>
    <n v="9"/>
    <m/>
    <n v="7"/>
    <n v="3"/>
    <n v="13"/>
    <n v="21"/>
  </r>
  <r>
    <x v="16"/>
    <s v="S12000018"/>
    <x v="1"/>
    <n v="63"/>
    <n v="21"/>
    <n v="2"/>
    <n v="1"/>
    <n v="6"/>
    <n v="6"/>
    <m/>
    <m/>
    <n v="1"/>
    <n v="4"/>
    <n v="5"/>
    <n v="2"/>
    <n v="4"/>
    <m/>
    <n v="3"/>
    <n v="8"/>
  </r>
  <r>
    <x v="16"/>
    <s v="S12000018"/>
    <x v="2"/>
    <n v="115"/>
    <n v="37"/>
    <n v="9"/>
    <m/>
    <n v="7"/>
    <n v="1"/>
    <m/>
    <n v="3"/>
    <n v="11"/>
    <n v="4"/>
    <n v="4"/>
    <n v="2"/>
    <n v="4"/>
    <n v="3"/>
    <n v="3"/>
    <n v="27"/>
  </r>
  <r>
    <x v="16"/>
    <s v="S12000018"/>
    <x v="3"/>
    <n v="65"/>
    <n v="35"/>
    <n v="3"/>
    <n v="1"/>
    <n v="10"/>
    <m/>
    <m/>
    <n v="6"/>
    <n v="3"/>
    <n v="1"/>
    <n v="1"/>
    <n v="1"/>
    <n v="1"/>
    <n v="1"/>
    <n v="1"/>
    <n v="1"/>
  </r>
  <r>
    <x v="16"/>
    <s v="S12000018"/>
    <x v="4"/>
    <n v="78"/>
    <n v="35"/>
    <n v="2"/>
    <n v="1"/>
    <n v="7"/>
    <n v="2"/>
    <m/>
    <n v="6"/>
    <n v="3"/>
    <n v="2"/>
    <n v="3"/>
    <m/>
    <n v="4"/>
    <m/>
    <n v="10"/>
    <n v="3"/>
  </r>
  <r>
    <x v="17"/>
    <s v="S12000019"/>
    <x v="0"/>
    <n v="126"/>
    <n v="18"/>
    <n v="1"/>
    <n v="1"/>
    <n v="35"/>
    <n v="3"/>
    <n v="5"/>
    <n v="2"/>
    <n v="4"/>
    <n v="1"/>
    <m/>
    <n v="2"/>
    <n v="2"/>
    <m/>
    <n v="14"/>
    <n v="38"/>
  </r>
  <r>
    <x v="17"/>
    <s v="S12000019"/>
    <x v="1"/>
    <n v="98"/>
    <n v="16"/>
    <n v="4"/>
    <m/>
    <n v="23"/>
    <n v="3"/>
    <n v="3"/>
    <n v="6"/>
    <n v="6"/>
    <n v="1"/>
    <n v="4"/>
    <n v="1"/>
    <n v="2"/>
    <n v="1"/>
    <n v="12"/>
    <n v="16"/>
  </r>
  <r>
    <x v="17"/>
    <s v="S12000019"/>
    <x v="2"/>
    <n v="97"/>
    <n v="19"/>
    <n v="3"/>
    <m/>
    <n v="21"/>
    <n v="3"/>
    <n v="3"/>
    <n v="10"/>
    <n v="3"/>
    <m/>
    <m/>
    <m/>
    <n v="1"/>
    <m/>
    <n v="31"/>
    <n v="3"/>
  </r>
  <r>
    <x v="17"/>
    <s v="S12000019"/>
    <x v="3"/>
    <n v="95"/>
    <n v="16"/>
    <n v="4"/>
    <n v="2"/>
    <n v="32"/>
    <n v="3"/>
    <n v="3"/>
    <n v="5"/>
    <n v="11"/>
    <n v="2"/>
    <n v="3"/>
    <n v="1"/>
    <n v="4"/>
    <n v="3"/>
    <n v="2"/>
    <n v="4"/>
  </r>
  <r>
    <x v="17"/>
    <s v="S12000019"/>
    <x v="4"/>
    <n v="138"/>
    <n v="19"/>
    <n v="6"/>
    <n v="2"/>
    <n v="17"/>
    <n v="3"/>
    <n v="2"/>
    <n v="13"/>
    <n v="20"/>
    <n v="4"/>
    <n v="3"/>
    <n v="2"/>
    <n v="11"/>
    <n v="2"/>
    <n v="12"/>
    <n v="22"/>
  </r>
  <r>
    <x v="18"/>
    <s v="S12000020"/>
    <x v="0"/>
    <n v="114"/>
    <n v="15"/>
    <n v="16"/>
    <m/>
    <n v="14"/>
    <m/>
    <m/>
    <n v="46"/>
    <n v="4"/>
    <n v="3"/>
    <n v="6"/>
    <n v="8"/>
    <m/>
    <n v="1"/>
    <m/>
    <n v="1"/>
  </r>
  <r>
    <x v="18"/>
    <s v="S12000020"/>
    <x v="1"/>
    <n v="193"/>
    <n v="38"/>
    <n v="43"/>
    <m/>
    <n v="13"/>
    <n v="11"/>
    <n v="4"/>
    <n v="38"/>
    <n v="2"/>
    <n v="7"/>
    <n v="3"/>
    <n v="28"/>
    <m/>
    <n v="2"/>
    <n v="2"/>
    <n v="2"/>
  </r>
  <r>
    <x v="18"/>
    <s v="S12000020"/>
    <x v="2"/>
    <n v="142"/>
    <n v="31"/>
    <n v="19"/>
    <m/>
    <n v="4"/>
    <n v="8"/>
    <n v="1"/>
    <n v="28"/>
    <n v="7"/>
    <n v="2"/>
    <n v="3"/>
    <n v="15"/>
    <m/>
    <n v="1"/>
    <n v="20"/>
    <n v="3"/>
  </r>
  <r>
    <x v="18"/>
    <s v="S12000020"/>
    <x v="3"/>
    <n v="216"/>
    <n v="42"/>
    <n v="14"/>
    <n v="2"/>
    <n v="15"/>
    <n v="10"/>
    <n v="2"/>
    <n v="45"/>
    <n v="3"/>
    <n v="9"/>
    <n v="3"/>
    <n v="44"/>
    <n v="1"/>
    <m/>
    <n v="21"/>
    <n v="5"/>
  </r>
  <r>
    <x v="18"/>
    <s v="S12000020"/>
    <x v="4"/>
    <n v="130"/>
    <n v="31"/>
    <n v="7"/>
    <m/>
    <n v="9"/>
    <n v="8"/>
    <n v="1"/>
    <n v="11"/>
    <n v="4"/>
    <n v="8"/>
    <n v="2"/>
    <n v="28"/>
    <n v="3"/>
    <n v="1"/>
    <n v="3"/>
    <n v="14"/>
  </r>
  <r>
    <x v="19"/>
    <s v="S12000013"/>
    <x v="0"/>
    <n v="19"/>
    <n v="6"/>
    <m/>
    <m/>
    <n v="7"/>
    <n v="2"/>
    <m/>
    <n v="2"/>
    <m/>
    <n v="1"/>
    <m/>
    <m/>
    <m/>
    <m/>
    <n v="1"/>
    <m/>
  </r>
  <r>
    <x v="19"/>
    <s v="S12000013"/>
    <x v="1"/>
    <n v="9"/>
    <n v="4"/>
    <m/>
    <m/>
    <m/>
    <n v="1"/>
    <n v="2"/>
    <n v="1"/>
    <m/>
    <m/>
    <m/>
    <m/>
    <m/>
    <m/>
    <m/>
    <n v="1"/>
  </r>
  <r>
    <x v="19"/>
    <s v="S12000013"/>
    <x v="2"/>
    <n v="21"/>
    <n v="7"/>
    <m/>
    <m/>
    <n v="2"/>
    <n v="2"/>
    <n v="1"/>
    <n v="8"/>
    <m/>
    <m/>
    <m/>
    <n v="1"/>
    <m/>
    <m/>
    <m/>
    <m/>
  </r>
  <r>
    <x v="19"/>
    <s v="S12000013"/>
    <x v="3"/>
    <n v="23"/>
    <n v="11"/>
    <m/>
    <m/>
    <m/>
    <n v="4"/>
    <m/>
    <n v="5"/>
    <m/>
    <m/>
    <m/>
    <n v="2"/>
    <m/>
    <m/>
    <m/>
    <n v="1"/>
  </r>
  <r>
    <x v="19"/>
    <s v="S12000013"/>
    <x v="4"/>
    <n v="21"/>
    <n v="6"/>
    <n v="2"/>
    <m/>
    <m/>
    <n v="2"/>
    <m/>
    <n v="8"/>
    <n v="1"/>
    <n v="1"/>
    <m/>
    <m/>
    <m/>
    <m/>
    <n v="1"/>
    <m/>
  </r>
  <r>
    <x v="20"/>
    <s v="S12000021"/>
    <x v="0"/>
    <n v="109"/>
    <n v="58"/>
    <n v="1"/>
    <m/>
    <n v="2"/>
    <n v="7"/>
    <n v="1"/>
    <n v="6"/>
    <n v="1"/>
    <n v="6"/>
    <n v="9"/>
    <n v="1"/>
    <n v="3"/>
    <n v="1"/>
    <n v="2"/>
    <n v="11"/>
  </r>
  <r>
    <x v="20"/>
    <s v="S12000021"/>
    <x v="1"/>
    <n v="263"/>
    <n v="72"/>
    <n v="34"/>
    <m/>
    <n v="6"/>
    <n v="5"/>
    <n v="4"/>
    <n v="36"/>
    <n v="4"/>
    <n v="4"/>
    <n v="13"/>
    <n v="30"/>
    <n v="10"/>
    <n v="1"/>
    <n v="5"/>
    <n v="39"/>
  </r>
  <r>
    <x v="20"/>
    <s v="S12000021"/>
    <x v="2"/>
    <n v="230"/>
    <n v="72"/>
    <n v="22"/>
    <m/>
    <n v="6"/>
    <n v="5"/>
    <n v="3"/>
    <n v="20"/>
    <n v="9"/>
    <n v="5"/>
    <n v="16"/>
    <n v="47"/>
    <n v="4"/>
    <n v="1"/>
    <n v="9"/>
    <n v="11"/>
  </r>
  <r>
    <x v="20"/>
    <s v="S12000021"/>
    <x v="3"/>
    <n v="102"/>
    <n v="40"/>
    <n v="1"/>
    <n v="1"/>
    <n v="3"/>
    <n v="2"/>
    <m/>
    <n v="29"/>
    <n v="7"/>
    <n v="3"/>
    <n v="2"/>
    <n v="4"/>
    <n v="1"/>
    <m/>
    <n v="1"/>
    <n v="8"/>
  </r>
  <r>
    <x v="20"/>
    <s v="S12000021"/>
    <x v="4"/>
    <n v="244"/>
    <n v="100"/>
    <n v="27"/>
    <n v="1"/>
    <n v="9"/>
    <n v="2"/>
    <n v="2"/>
    <n v="31"/>
    <n v="3"/>
    <n v="7"/>
    <n v="3"/>
    <n v="19"/>
    <n v="13"/>
    <m/>
    <n v="4"/>
    <n v="23"/>
  </r>
  <r>
    <x v="21"/>
    <s v="S12000044"/>
    <x v="0"/>
    <n v="301"/>
    <n v="39"/>
    <n v="26"/>
    <m/>
    <n v="55"/>
    <n v="7"/>
    <m/>
    <n v="20"/>
    <n v="35"/>
    <n v="42"/>
    <n v="9"/>
    <n v="2"/>
    <n v="16"/>
    <n v="5"/>
    <n v="3"/>
    <n v="42"/>
  </r>
  <r>
    <x v="21"/>
    <s v="S12000044"/>
    <x v="1"/>
    <n v="554"/>
    <n v="87"/>
    <n v="36"/>
    <n v="2"/>
    <n v="30"/>
    <n v="12"/>
    <m/>
    <n v="38"/>
    <n v="23"/>
    <n v="113"/>
    <n v="18"/>
    <n v="5"/>
    <n v="51"/>
    <n v="6"/>
    <n v="15"/>
    <n v="118"/>
  </r>
  <r>
    <x v="21"/>
    <s v="S12000044"/>
    <x v="2"/>
    <n v="496"/>
    <n v="55"/>
    <n v="58"/>
    <n v="2"/>
    <n v="22"/>
    <n v="6"/>
    <m/>
    <n v="29"/>
    <n v="48"/>
    <n v="61"/>
    <n v="22"/>
    <n v="2"/>
    <n v="89"/>
    <m/>
    <n v="16"/>
    <n v="86"/>
  </r>
  <r>
    <x v="21"/>
    <s v="S12000044"/>
    <x v="3"/>
    <n v="351"/>
    <n v="59"/>
    <n v="24"/>
    <m/>
    <n v="24"/>
    <n v="10"/>
    <m/>
    <n v="27"/>
    <n v="26"/>
    <n v="40"/>
    <n v="18"/>
    <n v="5"/>
    <n v="27"/>
    <n v="4"/>
    <n v="6"/>
    <n v="81"/>
  </r>
  <r>
    <x v="21"/>
    <s v="S12000044"/>
    <x v="4"/>
    <n v="307"/>
    <n v="58"/>
    <n v="17"/>
    <m/>
    <n v="24"/>
    <n v="9"/>
    <m/>
    <n v="29"/>
    <n v="24"/>
    <n v="35"/>
    <n v="28"/>
    <n v="3"/>
    <n v="21"/>
    <n v="1"/>
    <n v="17"/>
    <n v="41"/>
  </r>
  <r>
    <x v="22"/>
    <s v="S12000023"/>
    <x v="0"/>
    <n v="16"/>
    <n v="10"/>
    <m/>
    <m/>
    <n v="1"/>
    <n v="1"/>
    <m/>
    <n v="4"/>
    <m/>
    <m/>
    <m/>
    <m/>
    <m/>
    <m/>
    <m/>
    <m/>
  </r>
  <r>
    <x v="22"/>
    <s v="S12000023"/>
    <x v="1"/>
    <n v="32"/>
    <n v="14"/>
    <m/>
    <m/>
    <n v="6"/>
    <n v="1"/>
    <n v="1"/>
    <n v="9"/>
    <m/>
    <m/>
    <m/>
    <n v="1"/>
    <m/>
    <m/>
    <m/>
    <m/>
  </r>
  <r>
    <x v="22"/>
    <s v="S12000023"/>
    <x v="2"/>
    <n v="29"/>
    <n v="9"/>
    <m/>
    <m/>
    <n v="2"/>
    <n v="1"/>
    <n v="6"/>
    <n v="10"/>
    <m/>
    <m/>
    <m/>
    <n v="1"/>
    <m/>
    <m/>
    <m/>
    <m/>
  </r>
  <r>
    <x v="22"/>
    <s v="S12000023"/>
    <x v="3"/>
    <n v="13"/>
    <n v="9"/>
    <n v="1"/>
    <m/>
    <m/>
    <m/>
    <m/>
    <n v="3"/>
    <m/>
    <m/>
    <m/>
    <m/>
    <m/>
    <m/>
    <m/>
    <m/>
  </r>
  <r>
    <x v="22"/>
    <s v="S12000023"/>
    <x v="4"/>
    <n v="9"/>
    <n v="3"/>
    <m/>
    <m/>
    <m/>
    <m/>
    <m/>
    <n v="5"/>
    <m/>
    <m/>
    <m/>
    <m/>
    <n v="1"/>
    <m/>
    <m/>
    <m/>
  </r>
  <r>
    <x v="23"/>
    <s v="S12000024"/>
    <x v="0"/>
    <n v="247"/>
    <n v="85"/>
    <n v="3"/>
    <m/>
    <n v="32"/>
    <n v="49"/>
    <n v="1"/>
    <n v="18"/>
    <n v="4"/>
    <n v="11"/>
    <n v="4"/>
    <n v="30"/>
    <n v="1"/>
    <n v="1"/>
    <n v="3"/>
    <n v="5"/>
  </r>
  <r>
    <x v="23"/>
    <s v="S12000024"/>
    <x v="1"/>
    <n v="270"/>
    <n v="88"/>
    <n v="6"/>
    <m/>
    <n v="38"/>
    <n v="65"/>
    <m/>
    <n v="11"/>
    <n v="13"/>
    <n v="3"/>
    <n v="13"/>
    <n v="27"/>
    <n v="3"/>
    <m/>
    <n v="2"/>
    <n v="1"/>
  </r>
  <r>
    <x v="23"/>
    <s v="S12000024"/>
    <x v="2"/>
    <n v="287"/>
    <n v="81"/>
    <n v="2"/>
    <m/>
    <n v="30"/>
    <n v="57"/>
    <n v="4"/>
    <n v="34"/>
    <n v="15"/>
    <n v="5"/>
    <n v="8"/>
    <n v="39"/>
    <n v="3"/>
    <n v="2"/>
    <n v="4"/>
    <n v="3"/>
  </r>
  <r>
    <x v="23"/>
    <s v="S12000024"/>
    <x v="3"/>
    <n v="293"/>
    <n v="80"/>
    <n v="3"/>
    <m/>
    <n v="6"/>
    <n v="58"/>
    <n v="9"/>
    <n v="70"/>
    <n v="4"/>
    <n v="4"/>
    <n v="14"/>
    <n v="36"/>
    <n v="1"/>
    <n v="1"/>
    <n v="2"/>
    <n v="5"/>
  </r>
  <r>
    <x v="23"/>
    <s v="S12000024"/>
    <x v="4"/>
    <n v="293"/>
    <n v="86"/>
    <n v="7"/>
    <m/>
    <n v="18"/>
    <n v="69"/>
    <n v="7"/>
    <n v="48"/>
    <n v="5"/>
    <n v="3"/>
    <n v="5"/>
    <n v="30"/>
    <n v="4"/>
    <n v="1"/>
    <n v="2"/>
    <n v="8"/>
  </r>
  <r>
    <x v="24"/>
    <s v="S12000038"/>
    <x v="0"/>
    <n v="215"/>
    <n v="51"/>
    <n v="10"/>
    <m/>
    <n v="16"/>
    <n v="1"/>
    <m/>
    <n v="21"/>
    <n v="31"/>
    <n v="17"/>
    <n v="10"/>
    <m/>
    <n v="9"/>
    <m/>
    <n v="12"/>
    <n v="37"/>
  </r>
  <r>
    <x v="24"/>
    <s v="S12000038"/>
    <x v="1"/>
    <n v="238"/>
    <n v="45"/>
    <n v="23"/>
    <n v="1"/>
    <n v="70"/>
    <n v="1"/>
    <m/>
    <n v="27"/>
    <n v="10"/>
    <n v="7"/>
    <n v="7"/>
    <m/>
    <n v="11"/>
    <m/>
    <n v="4"/>
    <n v="32"/>
  </r>
  <r>
    <x v="24"/>
    <s v="S12000038"/>
    <x v="2"/>
    <n v="169"/>
    <n v="56"/>
    <n v="13"/>
    <m/>
    <n v="8"/>
    <n v="1"/>
    <m/>
    <n v="22"/>
    <n v="16"/>
    <n v="9"/>
    <n v="6"/>
    <m/>
    <n v="9"/>
    <n v="2"/>
    <n v="2"/>
    <n v="25"/>
  </r>
  <r>
    <x v="24"/>
    <s v="S12000038"/>
    <x v="3"/>
    <n v="91"/>
    <n v="56"/>
    <n v="1"/>
    <n v="2"/>
    <n v="6"/>
    <n v="3"/>
    <m/>
    <n v="16"/>
    <n v="4"/>
    <n v="1"/>
    <m/>
    <m/>
    <m/>
    <m/>
    <n v="1"/>
    <n v="1"/>
  </r>
  <r>
    <x v="24"/>
    <s v="S12000038"/>
    <x v="4"/>
    <n v="169"/>
    <n v="58"/>
    <n v="16"/>
    <m/>
    <n v="17"/>
    <n v="1"/>
    <m/>
    <n v="20"/>
    <n v="10"/>
    <n v="6"/>
    <n v="5"/>
    <n v="14"/>
    <n v="10"/>
    <n v="3"/>
    <n v="4"/>
    <n v="5"/>
  </r>
  <r>
    <x v="25"/>
    <s v="S12000026"/>
    <x v="0"/>
    <n v="381"/>
    <n v="34"/>
    <n v="7"/>
    <m/>
    <n v="22"/>
    <n v="17"/>
    <n v="2"/>
    <n v="85"/>
    <n v="21"/>
    <n v="7"/>
    <n v="11"/>
    <n v="41"/>
    <n v="7"/>
    <n v="2"/>
    <n v="8"/>
    <n v="117"/>
  </r>
  <r>
    <x v="25"/>
    <s v="S12000026"/>
    <x v="1"/>
    <n v="290"/>
    <n v="39"/>
    <n v="10"/>
    <m/>
    <n v="37"/>
    <n v="16"/>
    <n v="1"/>
    <n v="55"/>
    <n v="20"/>
    <n v="13"/>
    <n v="12"/>
    <n v="35"/>
    <n v="10"/>
    <n v="6"/>
    <n v="16"/>
    <n v="20"/>
  </r>
  <r>
    <x v="25"/>
    <s v="S12000026"/>
    <x v="2"/>
    <n v="285"/>
    <n v="32"/>
    <n v="9"/>
    <n v="1"/>
    <n v="39"/>
    <n v="18"/>
    <m/>
    <n v="53"/>
    <n v="29"/>
    <n v="11"/>
    <n v="8"/>
    <n v="26"/>
    <n v="3"/>
    <n v="6"/>
    <n v="19"/>
    <n v="31"/>
  </r>
  <r>
    <x v="25"/>
    <s v="S12000026"/>
    <x v="3"/>
    <n v="231"/>
    <n v="36"/>
    <n v="9"/>
    <n v="3"/>
    <n v="17"/>
    <n v="17"/>
    <m/>
    <n v="60"/>
    <n v="20"/>
    <n v="9"/>
    <n v="5"/>
    <n v="13"/>
    <n v="4"/>
    <n v="2"/>
    <n v="15"/>
    <n v="21"/>
  </r>
  <r>
    <x v="25"/>
    <s v="S12000026"/>
    <x v="4"/>
    <n v="219"/>
    <n v="36"/>
    <n v="9"/>
    <m/>
    <n v="31"/>
    <n v="15"/>
    <n v="1"/>
    <n v="44"/>
    <n v="11"/>
    <n v="3"/>
    <n v="16"/>
    <n v="23"/>
    <n v="4"/>
    <m/>
    <n v="15"/>
    <n v="11"/>
  </r>
  <r>
    <x v="26"/>
    <s v="S12000027"/>
    <x v="0"/>
    <n v="32"/>
    <n v="14"/>
    <m/>
    <m/>
    <n v="6"/>
    <n v="1"/>
    <n v="2"/>
    <n v="8"/>
    <m/>
    <n v="1"/>
    <m/>
    <m/>
    <m/>
    <m/>
    <m/>
    <m/>
  </r>
  <r>
    <x v="26"/>
    <s v="S12000027"/>
    <x v="1"/>
    <n v="24"/>
    <n v="10"/>
    <m/>
    <m/>
    <n v="6"/>
    <m/>
    <n v="1"/>
    <n v="4"/>
    <n v="1"/>
    <m/>
    <n v="1"/>
    <n v="1"/>
    <m/>
    <m/>
    <m/>
    <m/>
  </r>
  <r>
    <x v="26"/>
    <s v="S12000027"/>
    <x v="2"/>
    <n v="16"/>
    <n v="11"/>
    <m/>
    <m/>
    <m/>
    <n v="1"/>
    <n v="1"/>
    <n v="3"/>
    <m/>
    <m/>
    <m/>
    <m/>
    <m/>
    <m/>
    <m/>
    <m/>
  </r>
  <r>
    <x v="26"/>
    <s v="S12000027"/>
    <x v="3"/>
    <n v="23"/>
    <n v="16"/>
    <m/>
    <m/>
    <n v="3"/>
    <n v="1"/>
    <m/>
    <m/>
    <n v="1"/>
    <m/>
    <m/>
    <m/>
    <m/>
    <m/>
    <n v="1"/>
    <n v="1"/>
  </r>
  <r>
    <x v="26"/>
    <s v="S12000027"/>
    <x v="4"/>
    <n v="16"/>
    <n v="8"/>
    <m/>
    <m/>
    <n v="3"/>
    <m/>
    <m/>
    <n v="2"/>
    <n v="1"/>
    <m/>
    <m/>
    <m/>
    <n v="1"/>
    <n v="1"/>
    <m/>
    <m/>
  </r>
  <r>
    <x v="27"/>
    <s v="S12000028"/>
    <x v="0"/>
    <n v="247"/>
    <n v="46"/>
    <n v="20"/>
    <n v="1"/>
    <n v="23"/>
    <n v="3"/>
    <n v="5"/>
    <n v="39"/>
    <n v="16"/>
    <n v="15"/>
    <n v="8"/>
    <n v="14"/>
    <n v="10"/>
    <n v="1"/>
    <n v="10"/>
    <n v="36"/>
  </r>
  <r>
    <x v="27"/>
    <s v="S12000028"/>
    <x v="1"/>
    <n v="288"/>
    <n v="58"/>
    <n v="45"/>
    <m/>
    <n v="29"/>
    <n v="19"/>
    <n v="3"/>
    <n v="48"/>
    <n v="15"/>
    <n v="9"/>
    <n v="9"/>
    <n v="15"/>
    <n v="8"/>
    <m/>
    <n v="4"/>
    <n v="26"/>
  </r>
  <r>
    <x v="27"/>
    <s v="S12000028"/>
    <x v="2"/>
    <n v="310"/>
    <n v="51"/>
    <n v="9"/>
    <m/>
    <n v="32"/>
    <n v="19"/>
    <n v="6"/>
    <n v="59"/>
    <n v="15"/>
    <n v="9"/>
    <n v="12"/>
    <n v="34"/>
    <n v="34"/>
    <n v="4"/>
    <n v="4"/>
    <n v="22"/>
  </r>
  <r>
    <x v="27"/>
    <s v="S12000028"/>
    <x v="3"/>
    <n v="319"/>
    <n v="45"/>
    <n v="3"/>
    <n v="1"/>
    <n v="32"/>
    <n v="11"/>
    <n v="2"/>
    <n v="67"/>
    <n v="30"/>
    <n v="19"/>
    <n v="14"/>
    <n v="38"/>
    <n v="9"/>
    <m/>
    <n v="28"/>
    <n v="20"/>
  </r>
  <r>
    <x v="27"/>
    <s v="S12000028"/>
    <x v="4"/>
    <n v="229"/>
    <n v="56"/>
    <n v="17"/>
    <m/>
    <n v="28"/>
    <n v="8"/>
    <n v="3"/>
    <n v="38"/>
    <n v="11"/>
    <n v="11"/>
    <n v="6"/>
    <n v="7"/>
    <n v="10"/>
    <n v="2"/>
    <n v="19"/>
    <n v="13"/>
  </r>
  <r>
    <x v="28"/>
    <s v="S12000029"/>
    <x v="0"/>
    <n v="286"/>
    <n v="110"/>
    <n v="5"/>
    <m/>
    <n v="69"/>
    <n v="10"/>
    <m/>
    <n v="36"/>
    <n v="12"/>
    <n v="7"/>
    <n v="9"/>
    <n v="3"/>
    <n v="2"/>
    <n v="1"/>
    <n v="7"/>
    <n v="15"/>
  </r>
  <r>
    <x v="28"/>
    <s v="S12000029"/>
    <x v="1"/>
    <n v="250"/>
    <n v="102"/>
    <n v="4"/>
    <m/>
    <n v="59"/>
    <n v="15"/>
    <m/>
    <n v="25"/>
    <n v="6"/>
    <n v="16"/>
    <n v="8"/>
    <n v="3"/>
    <n v="3"/>
    <n v="1"/>
    <n v="3"/>
    <n v="5"/>
  </r>
  <r>
    <x v="28"/>
    <s v="S12000029"/>
    <x v="2"/>
    <n v="251"/>
    <n v="102"/>
    <n v="12"/>
    <n v="1"/>
    <n v="36"/>
    <n v="12"/>
    <n v="1"/>
    <n v="26"/>
    <n v="4"/>
    <n v="6"/>
    <n v="9"/>
    <n v="2"/>
    <n v="9"/>
    <n v="5"/>
    <n v="4"/>
    <n v="22"/>
  </r>
  <r>
    <x v="28"/>
    <s v="S12000029"/>
    <x v="3"/>
    <n v="333"/>
    <n v="115"/>
    <n v="16"/>
    <n v="2"/>
    <n v="74"/>
    <n v="24"/>
    <n v="3"/>
    <n v="37"/>
    <n v="14"/>
    <n v="7"/>
    <n v="8"/>
    <n v="4"/>
    <n v="5"/>
    <n v="1"/>
    <n v="9"/>
    <n v="14"/>
  </r>
  <r>
    <x v="28"/>
    <s v="S12000029"/>
    <x v="4"/>
    <n v="252"/>
    <n v="98"/>
    <n v="6"/>
    <m/>
    <n v="52"/>
    <n v="26"/>
    <m/>
    <n v="31"/>
    <n v="5"/>
    <n v="9"/>
    <n v="10"/>
    <n v="2"/>
    <n v="4"/>
    <m/>
    <n v="1"/>
    <n v="8"/>
  </r>
  <r>
    <x v="29"/>
    <s v="S12000030"/>
    <x v="0"/>
    <n v="217"/>
    <n v="39"/>
    <n v="1"/>
    <m/>
    <n v="105"/>
    <n v="1"/>
    <n v="3"/>
    <n v="43"/>
    <n v="2"/>
    <n v="2"/>
    <m/>
    <n v="19"/>
    <m/>
    <n v="1"/>
    <n v="1"/>
    <m/>
  </r>
  <r>
    <x v="29"/>
    <s v="S12000030"/>
    <x v="1"/>
    <n v="340"/>
    <n v="40"/>
    <n v="1"/>
    <m/>
    <n v="249"/>
    <n v="13"/>
    <n v="3"/>
    <n v="16"/>
    <n v="3"/>
    <n v="1"/>
    <n v="4"/>
    <n v="3"/>
    <n v="3"/>
    <m/>
    <n v="3"/>
    <n v="1"/>
  </r>
  <r>
    <x v="29"/>
    <s v="S12000030"/>
    <x v="2"/>
    <n v="160"/>
    <n v="46"/>
    <n v="3"/>
    <m/>
    <n v="33"/>
    <n v="16"/>
    <n v="4"/>
    <n v="22"/>
    <n v="5"/>
    <n v="4"/>
    <n v="3"/>
    <n v="10"/>
    <n v="5"/>
    <m/>
    <n v="3"/>
    <n v="6"/>
  </r>
  <r>
    <x v="29"/>
    <s v="S12000030"/>
    <x v="3"/>
    <n v="224"/>
    <n v="45"/>
    <n v="2"/>
    <n v="2"/>
    <n v="56"/>
    <n v="2"/>
    <n v="5"/>
    <n v="41"/>
    <n v="11"/>
    <n v="2"/>
    <n v="7"/>
    <n v="31"/>
    <n v="1"/>
    <n v="2"/>
    <n v="15"/>
    <n v="2"/>
  </r>
  <r>
    <x v="29"/>
    <s v="S12000030"/>
    <x v="4"/>
    <n v="193"/>
    <n v="56"/>
    <n v="3"/>
    <m/>
    <n v="37"/>
    <n v="7"/>
    <n v="2"/>
    <n v="33"/>
    <n v="1"/>
    <n v="2"/>
    <n v="4"/>
    <n v="4"/>
    <n v="3"/>
    <n v="1"/>
    <n v="36"/>
    <n v="4"/>
  </r>
  <r>
    <x v="30"/>
    <s v="S12000039"/>
    <x v="0"/>
    <n v="176"/>
    <n v="15"/>
    <n v="104"/>
    <m/>
    <n v="9"/>
    <n v="2"/>
    <m/>
    <n v="17"/>
    <n v="2"/>
    <n v="7"/>
    <n v="5"/>
    <n v="1"/>
    <n v="4"/>
    <n v="1"/>
    <n v="3"/>
    <n v="6"/>
  </r>
  <r>
    <x v="30"/>
    <s v="S12000039"/>
    <x v="1"/>
    <n v="220"/>
    <n v="26"/>
    <n v="117"/>
    <n v="1"/>
    <n v="19"/>
    <n v="7"/>
    <m/>
    <n v="17"/>
    <n v="3"/>
    <n v="9"/>
    <n v="7"/>
    <n v="2"/>
    <m/>
    <m/>
    <n v="5"/>
    <n v="7"/>
  </r>
  <r>
    <x v="30"/>
    <s v="S12000039"/>
    <x v="2"/>
    <n v="121"/>
    <n v="24"/>
    <n v="31"/>
    <m/>
    <n v="13"/>
    <n v="4"/>
    <m/>
    <n v="17"/>
    <n v="3"/>
    <n v="5"/>
    <n v="3"/>
    <n v="6"/>
    <n v="2"/>
    <n v="2"/>
    <n v="3"/>
    <n v="8"/>
  </r>
  <r>
    <x v="30"/>
    <s v="S12000039"/>
    <x v="3"/>
    <n v="109"/>
    <n v="18"/>
    <n v="10"/>
    <m/>
    <n v="21"/>
    <n v="4"/>
    <m/>
    <n v="16"/>
    <n v="6"/>
    <n v="11"/>
    <n v="2"/>
    <n v="2"/>
    <n v="1"/>
    <n v="1"/>
    <n v="7"/>
    <n v="10"/>
  </r>
  <r>
    <x v="30"/>
    <s v="S12000039"/>
    <x v="4"/>
    <n v="79"/>
    <n v="16"/>
    <n v="6"/>
    <m/>
    <n v="17"/>
    <n v="5"/>
    <m/>
    <n v="13"/>
    <n v="2"/>
    <n v="4"/>
    <n v="3"/>
    <n v="1"/>
    <n v="5"/>
    <m/>
    <n v="1"/>
    <n v="6"/>
  </r>
  <r>
    <x v="31"/>
    <s v="S12000040"/>
    <x v="0"/>
    <n v="238"/>
    <n v="45"/>
    <n v="29"/>
    <m/>
    <n v="13"/>
    <n v="9"/>
    <n v="4"/>
    <n v="5"/>
    <n v="34"/>
    <n v="13"/>
    <n v="15"/>
    <n v="1"/>
    <n v="3"/>
    <n v="16"/>
    <n v="21"/>
    <n v="30"/>
  </r>
  <r>
    <x v="31"/>
    <s v="S12000040"/>
    <x v="1"/>
    <n v="176"/>
    <n v="47"/>
    <n v="25"/>
    <m/>
    <n v="4"/>
    <n v="7"/>
    <n v="1"/>
    <n v="33"/>
    <n v="8"/>
    <n v="15"/>
    <n v="7"/>
    <n v="13"/>
    <n v="2"/>
    <n v="2"/>
    <n v="6"/>
    <n v="6"/>
  </r>
  <r>
    <x v="31"/>
    <s v="S12000040"/>
    <x v="2"/>
    <n v="177"/>
    <n v="47"/>
    <n v="18"/>
    <n v="2"/>
    <n v="2"/>
    <n v="10"/>
    <n v="1"/>
    <n v="16"/>
    <n v="22"/>
    <n v="11"/>
    <n v="11"/>
    <n v="1"/>
    <n v="5"/>
    <n v="4"/>
    <n v="15"/>
    <n v="12"/>
  </r>
  <r>
    <x v="31"/>
    <s v="S12000040"/>
    <x v="3"/>
    <n v="164"/>
    <n v="56"/>
    <n v="14"/>
    <m/>
    <n v="3"/>
    <n v="5"/>
    <n v="1"/>
    <n v="8"/>
    <n v="14"/>
    <n v="5"/>
    <n v="15"/>
    <m/>
    <n v="3"/>
    <n v="3"/>
    <n v="16"/>
    <n v="21"/>
  </r>
  <r>
    <x v="31"/>
    <s v="S12000040"/>
    <x v="4"/>
    <n v="213"/>
    <n v="60"/>
    <n v="21"/>
    <m/>
    <n v="9"/>
    <n v="11"/>
    <m/>
    <n v="15"/>
    <n v="8"/>
    <n v="11"/>
    <n v="17"/>
    <n v="1"/>
    <n v="5"/>
    <n v="8"/>
    <n v="28"/>
    <n v="19"/>
  </r>
</pivotCacheRecords>
</file>

<file path=xl/pivotCache/pivotCacheRecords16.xml><?xml version="1.0" encoding="utf-8"?>
<pivotCacheRecords xmlns="http://schemas.openxmlformats.org/spreadsheetml/2006/main" xmlns:r="http://schemas.openxmlformats.org/officeDocument/2006/relationships" count="75">
  <r>
    <x v="0"/>
    <x v="0"/>
    <n v="330"/>
    <n v="2088.25"/>
    <n v="4"/>
    <n v="37.5"/>
    <m/>
    <m/>
    <m/>
    <m/>
  </r>
  <r>
    <x v="0"/>
    <x v="1"/>
    <n v="1456"/>
    <n v="8821.25"/>
    <n v="50"/>
    <n v="482.25"/>
    <n v="1"/>
    <n v="31"/>
    <m/>
    <m/>
  </r>
  <r>
    <x v="0"/>
    <x v="2"/>
    <n v="1871"/>
    <n v="7024.75"/>
    <n v="76"/>
    <n v="361.75"/>
    <n v="2"/>
    <n v="19.25"/>
    <n v="1"/>
    <n v="7.5"/>
  </r>
  <r>
    <x v="0"/>
    <x v="3"/>
    <n v="127"/>
    <n v="588.75"/>
    <n v="11"/>
    <n v="66.25"/>
    <m/>
    <m/>
    <n v="1"/>
    <n v="5.5"/>
  </r>
  <r>
    <x v="0"/>
    <x v="4"/>
    <n v="1022"/>
    <n v="6361.5"/>
    <n v="87"/>
    <n v="868.25"/>
    <n v="6"/>
    <n v="150.5"/>
    <m/>
    <m/>
  </r>
  <r>
    <x v="0"/>
    <x v="5"/>
    <n v="234"/>
    <n v="1136.75"/>
    <n v="17"/>
    <n v="120"/>
    <m/>
    <m/>
    <m/>
    <m/>
  </r>
  <r>
    <x v="0"/>
    <x v="6"/>
    <n v="27"/>
    <n v="201"/>
    <n v="1"/>
    <n v="4.75"/>
    <m/>
    <m/>
    <m/>
    <m/>
  </r>
  <r>
    <x v="0"/>
    <x v="7"/>
    <n v="67"/>
    <n v="370.5"/>
    <n v="1"/>
    <n v="7.25"/>
    <m/>
    <m/>
    <m/>
    <m/>
  </r>
  <r>
    <x v="0"/>
    <x v="8"/>
    <n v="553"/>
    <n v="2713"/>
    <n v="43"/>
    <n v="383.25"/>
    <m/>
    <m/>
    <m/>
    <m/>
  </r>
  <r>
    <x v="0"/>
    <x v="9"/>
    <n v="257"/>
    <n v="1527"/>
    <n v="3"/>
    <n v="23.5"/>
    <m/>
    <m/>
    <m/>
    <m/>
  </r>
  <r>
    <x v="0"/>
    <x v="10"/>
    <n v="644"/>
    <n v="3222.75"/>
    <n v="39"/>
    <n v="284.75"/>
    <m/>
    <m/>
    <m/>
    <m/>
  </r>
  <r>
    <x v="0"/>
    <x v="11"/>
    <n v="343"/>
    <n v="1793.75"/>
    <n v="13"/>
    <n v="95"/>
    <m/>
    <m/>
    <n v="1"/>
    <n v="12.5"/>
  </r>
  <r>
    <x v="0"/>
    <x v="12"/>
    <n v="388"/>
    <n v="2008.75"/>
    <n v="24"/>
    <n v="214.75"/>
    <m/>
    <m/>
    <m/>
    <m/>
  </r>
  <r>
    <x v="0"/>
    <x v="13"/>
    <n v="333"/>
    <n v="1754.75"/>
    <n v="11"/>
    <n v="75"/>
    <n v="1"/>
    <n v="5.5"/>
    <m/>
    <m/>
  </r>
  <r>
    <x v="0"/>
    <x v="14"/>
    <n v="164"/>
    <n v="872.25"/>
    <n v="10"/>
    <n v="110.25"/>
    <m/>
    <m/>
    <m/>
    <m/>
  </r>
  <r>
    <x v="1"/>
    <x v="0"/>
    <n v="409"/>
    <n v="2440"/>
    <n v="42"/>
    <n v="504.75"/>
    <n v="1"/>
    <n v="32"/>
    <m/>
    <m/>
  </r>
  <r>
    <x v="1"/>
    <x v="1"/>
    <n v="1667"/>
    <n v="9716.25"/>
    <n v="93"/>
    <n v="978.75"/>
    <n v="3"/>
    <n v="76.25"/>
    <m/>
    <m/>
  </r>
  <r>
    <x v="1"/>
    <x v="2"/>
    <n v="2916"/>
    <n v="10285.25"/>
    <n v="146"/>
    <n v="902.5"/>
    <n v="2"/>
    <n v="14.5"/>
    <n v="1"/>
    <n v="3.75"/>
  </r>
  <r>
    <x v="1"/>
    <x v="3"/>
    <n v="109"/>
    <n v="654.75"/>
    <n v="10"/>
    <n v="118.75"/>
    <n v="1"/>
    <n v="26.5"/>
    <m/>
    <m/>
  </r>
  <r>
    <x v="1"/>
    <x v="4"/>
    <n v="1100"/>
    <n v="6862.25"/>
    <n v="163"/>
    <n v="2008.25"/>
    <n v="14"/>
    <n v="436.5"/>
    <m/>
    <m/>
  </r>
  <r>
    <x v="1"/>
    <x v="5"/>
    <n v="317"/>
    <n v="1475"/>
    <n v="34"/>
    <n v="285.75"/>
    <m/>
    <m/>
    <m/>
    <m/>
  </r>
  <r>
    <x v="1"/>
    <x v="6"/>
    <n v="35"/>
    <n v="248.75"/>
    <n v="1"/>
    <n v="6.5"/>
    <m/>
    <m/>
    <m/>
    <m/>
  </r>
  <r>
    <x v="1"/>
    <x v="7"/>
    <n v="48"/>
    <n v="249.5"/>
    <n v="1"/>
    <n v="20.25"/>
    <m/>
    <m/>
    <m/>
    <m/>
  </r>
  <r>
    <x v="1"/>
    <x v="8"/>
    <n v="437"/>
    <n v="2243.5"/>
    <n v="57"/>
    <n v="475.25"/>
    <n v="2"/>
    <n v="26.25"/>
    <m/>
    <m/>
  </r>
  <r>
    <x v="1"/>
    <x v="9"/>
    <n v="216"/>
    <n v="1257"/>
    <n v="12"/>
    <n v="100"/>
    <m/>
    <m/>
    <n v="1"/>
    <n v="2.5"/>
  </r>
  <r>
    <x v="1"/>
    <x v="10"/>
    <n v="598"/>
    <n v="3214.5"/>
    <n v="41"/>
    <n v="283"/>
    <m/>
    <m/>
    <n v="1"/>
    <n v="11.5"/>
  </r>
  <r>
    <x v="1"/>
    <x v="11"/>
    <n v="303"/>
    <n v="1550.75"/>
    <n v="17"/>
    <n v="153"/>
    <m/>
    <m/>
    <m/>
    <m/>
  </r>
  <r>
    <x v="1"/>
    <x v="12"/>
    <n v="476"/>
    <n v="2044.25"/>
    <n v="9"/>
    <n v="74.75"/>
    <m/>
    <m/>
    <m/>
    <m/>
  </r>
  <r>
    <x v="1"/>
    <x v="13"/>
    <n v="364"/>
    <n v="1734.75"/>
    <n v="15"/>
    <n v="95.75"/>
    <m/>
    <m/>
    <m/>
    <m/>
  </r>
  <r>
    <x v="1"/>
    <x v="14"/>
    <n v="190"/>
    <n v="988.5"/>
    <n v="8"/>
    <n v="62.25"/>
    <m/>
    <m/>
    <n v="1"/>
    <n v="5.5"/>
  </r>
  <r>
    <x v="2"/>
    <x v="0"/>
    <n v="359"/>
    <n v="1911.75"/>
    <n v="37"/>
    <n v="370.75"/>
    <m/>
    <m/>
    <m/>
    <m/>
  </r>
  <r>
    <x v="2"/>
    <x v="1"/>
    <n v="1660"/>
    <n v="9324.75"/>
    <n v="59"/>
    <n v="711.5"/>
    <m/>
    <m/>
    <m/>
    <m/>
  </r>
  <r>
    <x v="2"/>
    <x v="2"/>
    <n v="2531"/>
    <n v="8986"/>
    <n v="119"/>
    <n v="614"/>
    <n v="9"/>
    <n v="69.25"/>
    <n v="4"/>
    <n v="22.25"/>
  </r>
  <r>
    <x v="2"/>
    <x v="3"/>
    <n v="119"/>
    <n v="607"/>
    <n v="9"/>
    <n v="83.5"/>
    <n v="1"/>
    <n v="6.75"/>
    <m/>
    <m/>
  </r>
  <r>
    <x v="2"/>
    <x v="4"/>
    <n v="990"/>
    <n v="5995.25"/>
    <n v="148"/>
    <n v="1626.25"/>
    <n v="8"/>
    <n v="268.5"/>
    <n v="3"/>
    <n v="20.75"/>
  </r>
  <r>
    <x v="2"/>
    <x v="5"/>
    <n v="338"/>
    <n v="1664"/>
    <n v="33"/>
    <n v="287.5"/>
    <n v="2"/>
    <n v="39"/>
    <n v="2"/>
    <n v="7.25"/>
  </r>
  <r>
    <x v="2"/>
    <x v="6"/>
    <n v="20"/>
    <n v="104.5"/>
    <n v="1"/>
    <n v="11.5"/>
    <m/>
    <m/>
    <m/>
    <m/>
  </r>
  <r>
    <x v="2"/>
    <x v="7"/>
    <n v="63"/>
    <n v="340.5"/>
    <n v="3"/>
    <n v="33.25"/>
    <m/>
    <m/>
    <m/>
    <m/>
  </r>
  <r>
    <x v="2"/>
    <x v="8"/>
    <n v="421"/>
    <n v="2155.5"/>
    <n v="61"/>
    <n v="470.25"/>
    <n v="1"/>
    <n v="11.75"/>
    <n v="1"/>
    <n v="8.5"/>
  </r>
  <r>
    <x v="2"/>
    <x v="9"/>
    <n v="350"/>
    <n v="2174"/>
    <n v="13"/>
    <n v="160.75"/>
    <m/>
    <m/>
    <m/>
    <m/>
  </r>
  <r>
    <x v="2"/>
    <x v="10"/>
    <n v="497"/>
    <n v="2570.75"/>
    <n v="26"/>
    <n v="227.75"/>
    <m/>
    <m/>
    <n v="2"/>
    <n v="13.5"/>
  </r>
  <r>
    <x v="2"/>
    <x v="11"/>
    <n v="221"/>
    <n v="1244.75"/>
    <n v="14"/>
    <n v="103.25"/>
    <m/>
    <m/>
    <m/>
    <m/>
  </r>
  <r>
    <x v="2"/>
    <x v="12"/>
    <n v="319"/>
    <n v="1744"/>
    <n v="10"/>
    <n v="102.75"/>
    <m/>
    <m/>
    <m/>
    <m/>
  </r>
  <r>
    <x v="2"/>
    <x v="13"/>
    <n v="264"/>
    <n v="1213.5"/>
    <n v="11"/>
    <n v="97.25"/>
    <m/>
    <m/>
    <m/>
    <m/>
  </r>
  <r>
    <x v="2"/>
    <x v="14"/>
    <n v="233"/>
    <n v="1339.75"/>
    <n v="10"/>
    <n v="90.5"/>
    <m/>
    <m/>
    <m/>
    <m/>
  </r>
  <r>
    <x v="3"/>
    <x v="0"/>
    <n v="342"/>
    <n v="1662"/>
    <n v="25"/>
    <n v="274.25"/>
    <m/>
    <m/>
    <m/>
    <m/>
  </r>
  <r>
    <x v="3"/>
    <x v="1"/>
    <n v="1599"/>
    <n v="8671.5"/>
    <n v="54"/>
    <n v="593.75"/>
    <m/>
    <m/>
    <m/>
    <m/>
  </r>
  <r>
    <x v="3"/>
    <x v="2"/>
    <n v="1986"/>
    <n v="7167.75"/>
    <n v="91"/>
    <n v="794.5"/>
    <n v="2"/>
    <n v="51.75"/>
    <n v="4"/>
    <n v="16.25"/>
  </r>
  <r>
    <x v="3"/>
    <x v="3"/>
    <n v="94"/>
    <n v="573.5"/>
    <n v="10"/>
    <n v="114.75"/>
    <m/>
    <m/>
    <n v="1"/>
    <n v="2"/>
  </r>
  <r>
    <x v="3"/>
    <x v="4"/>
    <n v="1018"/>
    <n v="5856.5"/>
    <n v="149"/>
    <n v="1800.5"/>
    <n v="9"/>
    <n v="378.75"/>
    <n v="6"/>
    <n v="72.5"/>
  </r>
  <r>
    <x v="3"/>
    <x v="5"/>
    <n v="375"/>
    <n v="1755"/>
    <n v="33"/>
    <n v="257.25"/>
    <m/>
    <m/>
    <n v="1"/>
    <n v="7.5"/>
  </r>
  <r>
    <x v="3"/>
    <x v="6"/>
    <n v="34"/>
    <n v="183"/>
    <n v="3"/>
    <n v="56.5"/>
    <m/>
    <m/>
    <m/>
    <m/>
  </r>
  <r>
    <x v="3"/>
    <x v="7"/>
    <n v="55"/>
    <n v="288"/>
    <n v="4"/>
    <n v="35.75"/>
    <m/>
    <m/>
    <m/>
    <m/>
  </r>
  <r>
    <x v="3"/>
    <x v="8"/>
    <n v="294"/>
    <n v="1469.5"/>
    <n v="38"/>
    <n v="329.5"/>
    <n v="3"/>
    <n v="32"/>
    <n v="3"/>
    <n v="17.75"/>
  </r>
  <r>
    <x v="3"/>
    <x v="9"/>
    <n v="255"/>
    <n v="1437.75"/>
    <n v="13"/>
    <n v="146.5"/>
    <m/>
    <m/>
    <m/>
    <m/>
  </r>
  <r>
    <x v="3"/>
    <x v="10"/>
    <n v="344"/>
    <n v="1674.75"/>
    <n v="18"/>
    <n v="138.25"/>
    <n v="1"/>
    <n v="3"/>
    <n v="2"/>
    <n v="12.5"/>
  </r>
  <r>
    <x v="3"/>
    <x v="11"/>
    <n v="225"/>
    <n v="1105.5"/>
    <n v="15"/>
    <n v="122.25"/>
    <m/>
    <m/>
    <m/>
    <m/>
  </r>
  <r>
    <x v="3"/>
    <x v="12"/>
    <n v="222"/>
    <n v="1205.75"/>
    <n v="6"/>
    <n v="53.25"/>
    <m/>
    <m/>
    <m/>
    <m/>
  </r>
  <r>
    <x v="3"/>
    <x v="13"/>
    <n v="217"/>
    <n v="1101.5"/>
    <n v="3"/>
    <n v="26"/>
    <m/>
    <m/>
    <m/>
    <m/>
  </r>
  <r>
    <x v="3"/>
    <x v="14"/>
    <n v="107"/>
    <n v="536.5"/>
    <n v="6"/>
    <n v="39"/>
    <m/>
    <m/>
    <m/>
    <m/>
  </r>
  <r>
    <x v="4"/>
    <x v="0"/>
    <n v="449"/>
    <n v="2244.5"/>
    <n v="22"/>
    <n v="166.5"/>
    <m/>
    <m/>
    <m/>
    <m/>
  </r>
  <r>
    <x v="4"/>
    <x v="1"/>
    <n v="1731"/>
    <n v="9112.75"/>
    <n v="44"/>
    <n v="463.25"/>
    <n v="1"/>
    <n v="33.25"/>
    <m/>
    <m/>
  </r>
  <r>
    <x v="4"/>
    <x v="2"/>
    <n v="1804"/>
    <n v="6780"/>
    <n v="58"/>
    <n v="572.5"/>
    <n v="5"/>
    <n v="167.25"/>
    <n v="12"/>
    <n v="181.25"/>
  </r>
  <r>
    <x v="4"/>
    <x v="3"/>
    <n v="85"/>
    <n v="435.5"/>
    <n v="3"/>
    <n v="61.25"/>
    <n v="1"/>
    <n v="38.25"/>
    <m/>
    <m/>
  </r>
  <r>
    <x v="4"/>
    <x v="4"/>
    <n v="921"/>
    <n v="5130.75"/>
    <n v="109"/>
    <n v="1313.75"/>
    <n v="5"/>
    <n v="154"/>
    <n v="4"/>
    <n v="34"/>
  </r>
  <r>
    <x v="4"/>
    <x v="5"/>
    <n v="301"/>
    <n v="1377.25"/>
    <n v="22"/>
    <n v="192.75"/>
    <m/>
    <m/>
    <m/>
    <m/>
  </r>
  <r>
    <x v="4"/>
    <x v="6"/>
    <n v="30"/>
    <n v="199.75"/>
    <n v="1"/>
    <n v="11.25"/>
    <m/>
    <m/>
    <m/>
    <m/>
  </r>
  <r>
    <x v="4"/>
    <x v="7"/>
    <n v="59"/>
    <n v="321.75"/>
    <n v="1"/>
    <n v="14"/>
    <m/>
    <m/>
    <m/>
    <m/>
  </r>
  <r>
    <x v="4"/>
    <x v="8"/>
    <n v="329"/>
    <n v="1704"/>
    <n v="45"/>
    <n v="386.75"/>
    <n v="5"/>
    <n v="80"/>
    <m/>
    <m/>
  </r>
  <r>
    <x v="4"/>
    <x v="9"/>
    <n v="457"/>
    <n v="2188.5"/>
    <n v="13"/>
    <n v="156.75"/>
    <m/>
    <m/>
    <m/>
    <m/>
  </r>
  <r>
    <x v="4"/>
    <x v="10"/>
    <n v="366"/>
    <n v="1827.5"/>
    <n v="16"/>
    <n v="156.5"/>
    <n v="3"/>
    <n v="45.25"/>
    <n v="3"/>
    <n v="16"/>
  </r>
  <r>
    <x v="4"/>
    <x v="11"/>
    <n v="273"/>
    <n v="1407.5"/>
    <n v="10"/>
    <n v="106.75"/>
    <m/>
    <m/>
    <n v="1"/>
    <n v="6.25"/>
  </r>
  <r>
    <x v="4"/>
    <x v="12"/>
    <n v="261"/>
    <n v="1459.5"/>
    <n v="6"/>
    <n v="50.75"/>
    <m/>
    <m/>
    <m/>
    <m/>
  </r>
  <r>
    <x v="4"/>
    <x v="13"/>
    <n v="263"/>
    <n v="1314"/>
    <n v="4"/>
    <n v="38"/>
    <m/>
    <m/>
    <m/>
    <m/>
  </r>
  <r>
    <x v="4"/>
    <x v="14"/>
    <n v="179"/>
    <n v="949"/>
    <n v="10"/>
    <n v="68.5"/>
    <n v="1"/>
    <m/>
    <m/>
    <m/>
  </r>
</pivotCacheRecords>
</file>

<file path=xl/pivotCache/pivotCacheRecords17.xml><?xml version="1.0" encoding="utf-8"?>
<pivotCacheRecords xmlns="http://schemas.openxmlformats.org/spreadsheetml/2006/main" xmlns:r="http://schemas.openxmlformats.org/officeDocument/2006/relationships" count="160">
  <r>
    <x v="0"/>
    <x v="0"/>
    <s v="S12000033"/>
    <n v="356"/>
    <n v="1936.75"/>
    <n v="13"/>
    <n v="138.5"/>
    <n v="2"/>
    <n v="19.25"/>
    <m/>
    <m/>
  </r>
  <r>
    <x v="0"/>
    <x v="1"/>
    <s v="S12000034"/>
    <n v="252"/>
    <n v="1725.5"/>
    <n v="15"/>
    <n v="162"/>
    <n v="1"/>
    <n v="38"/>
    <n v="1"/>
    <n v="7.5"/>
  </r>
  <r>
    <x v="0"/>
    <x v="2"/>
    <s v="S12000041"/>
    <n v="202"/>
    <n v="853.5"/>
    <n v="4"/>
    <n v="21.75"/>
    <m/>
    <m/>
    <m/>
    <m/>
  </r>
  <r>
    <x v="0"/>
    <x v="3"/>
    <s v="S12000035"/>
    <n v="250"/>
    <n v="1985.5"/>
    <n v="3"/>
    <n v="38.5"/>
    <m/>
    <m/>
    <m/>
    <m/>
  </r>
  <r>
    <x v="0"/>
    <x v="4"/>
    <s v="S12000036"/>
    <n v="903"/>
    <n v="3293.5"/>
    <n v="53"/>
    <n v="292"/>
    <n v="1"/>
    <n v="5.5"/>
    <m/>
    <m/>
  </r>
  <r>
    <x v="0"/>
    <x v="5"/>
    <s v="S12000005"/>
    <n v="42"/>
    <n v="247.25"/>
    <n v="2"/>
    <n v="16"/>
    <m/>
    <m/>
    <m/>
    <m/>
  </r>
  <r>
    <x v="0"/>
    <x v="6"/>
    <s v="S12000006"/>
    <n v="177"/>
    <n v="785.25"/>
    <n v="36"/>
    <n v="306.5"/>
    <m/>
    <m/>
    <n v="1"/>
    <n v="12.5"/>
  </r>
  <r>
    <x v="0"/>
    <x v="7"/>
    <s v="S12000042"/>
    <n v="456"/>
    <n v="1804.75"/>
    <n v="4"/>
    <n v="13.5"/>
    <m/>
    <m/>
    <m/>
    <m/>
  </r>
  <r>
    <x v="0"/>
    <x v="8"/>
    <s v="S12000008"/>
    <n v="142"/>
    <n v="914.75"/>
    <n v="11"/>
    <n v="90.75"/>
    <m/>
    <m/>
    <m/>
    <m/>
  </r>
  <r>
    <x v="0"/>
    <x v="9"/>
    <s v="S12000045"/>
    <n v="53"/>
    <n v="362.75"/>
    <n v="1"/>
    <n v="7.5"/>
    <m/>
    <m/>
    <m/>
    <m/>
  </r>
  <r>
    <x v="0"/>
    <x v="10"/>
    <s v="S12000010"/>
    <n v="96"/>
    <n v="335.5"/>
    <n v="6"/>
    <n v="37.5"/>
    <m/>
    <m/>
    <m/>
    <m/>
  </r>
  <r>
    <x v="0"/>
    <x v="11"/>
    <s v="S12000011"/>
    <n v="111"/>
    <n v="761.5"/>
    <n v="8"/>
    <n v="133"/>
    <m/>
    <m/>
    <m/>
    <m/>
  </r>
  <r>
    <x v="0"/>
    <x v="12"/>
    <s v="S12000014"/>
    <n v="232"/>
    <n v="1156"/>
    <n v="11"/>
    <n v="105.25"/>
    <m/>
    <m/>
    <m/>
    <m/>
  </r>
  <r>
    <x v="0"/>
    <x v="13"/>
    <s v="S12000015"/>
    <n v="483"/>
    <n v="1857.5"/>
    <n v="15"/>
    <n v="104.75"/>
    <m/>
    <m/>
    <m/>
    <m/>
  </r>
  <r>
    <x v="0"/>
    <x v="14"/>
    <s v="S12000046"/>
    <n v="1045"/>
    <n v="5340"/>
    <n v="77"/>
    <n v="444"/>
    <m/>
    <m/>
    <n v="1"/>
    <n v="5.5"/>
  </r>
  <r>
    <x v="0"/>
    <x v="15"/>
    <s v="S12000017"/>
    <n v="259"/>
    <n v="1846.75"/>
    <n v="17"/>
    <n v="253.25"/>
    <n v="5"/>
    <n v="112.5"/>
    <m/>
    <m/>
  </r>
  <r>
    <x v="0"/>
    <x v="16"/>
    <s v="S12000018"/>
    <n v="142"/>
    <n v="600.5"/>
    <n v="5"/>
    <n v="37.75"/>
    <m/>
    <m/>
    <m/>
    <m/>
  </r>
  <r>
    <x v="0"/>
    <x v="17"/>
    <s v="S12000019"/>
    <n v="122"/>
    <n v="365.5"/>
    <n v="4"/>
    <n v="31.25"/>
    <m/>
    <m/>
    <m/>
    <m/>
  </r>
  <r>
    <x v="0"/>
    <x v="18"/>
    <s v="S12000020"/>
    <n v="110"/>
    <n v="771.25"/>
    <n v="4"/>
    <n v="72.5"/>
    <m/>
    <m/>
    <m/>
    <m/>
  </r>
  <r>
    <x v="0"/>
    <x v="19"/>
    <s v="S12000013"/>
    <n v="18"/>
    <n v="138.5"/>
    <n v="1"/>
    <n v="13.25"/>
    <m/>
    <m/>
    <m/>
    <m/>
  </r>
  <r>
    <x v="0"/>
    <x v="20"/>
    <s v="S12000021"/>
    <n v="105"/>
    <n v="505.5"/>
    <n v="4"/>
    <n v="31"/>
    <m/>
    <m/>
    <m/>
    <m/>
  </r>
  <r>
    <x v="0"/>
    <x v="21"/>
    <s v="S12000044"/>
    <n v="298"/>
    <n v="2166.75"/>
    <n v="3"/>
    <n v="23.75"/>
    <m/>
    <m/>
    <m/>
    <m/>
  </r>
  <r>
    <x v="0"/>
    <x v="22"/>
    <s v="S12000023"/>
    <n v="16"/>
    <n v="108.5"/>
    <m/>
    <m/>
    <m/>
    <m/>
    <m/>
    <m/>
  </r>
  <r>
    <x v="0"/>
    <x v="23"/>
    <s v="S12000024"/>
    <n v="246"/>
    <n v="1269.25"/>
    <n v="1"/>
    <n v="10.25"/>
    <m/>
    <m/>
    <m/>
    <m/>
  </r>
  <r>
    <x v="0"/>
    <x v="24"/>
    <s v="S12000038"/>
    <n v="212"/>
    <n v="1318.75"/>
    <n v="3"/>
    <n v="28.75"/>
    <m/>
    <m/>
    <m/>
    <m/>
  </r>
  <r>
    <x v="0"/>
    <x v="25"/>
    <s v="S12000026"/>
    <n v="332"/>
    <n v="1463"/>
    <n v="49"/>
    <n v="381.75"/>
    <n v="1"/>
    <n v="31"/>
    <m/>
    <m/>
  </r>
  <r>
    <x v="0"/>
    <x v="26"/>
    <s v="S12000027"/>
    <n v="32"/>
    <n v="199.75"/>
    <m/>
    <m/>
    <m/>
    <m/>
    <m/>
    <m/>
  </r>
  <r>
    <x v="0"/>
    <x v="27"/>
    <s v="S12000028"/>
    <n v="239"/>
    <n v="1368.5"/>
    <n v="8"/>
    <n v="65.5"/>
    <m/>
    <m/>
    <m/>
    <m/>
  </r>
  <r>
    <x v="0"/>
    <x v="28"/>
    <s v="S12000029"/>
    <n v="278"/>
    <n v="2462.25"/>
    <n v="8"/>
    <n v="133.5"/>
    <m/>
    <m/>
    <m/>
    <m/>
  </r>
  <r>
    <x v="0"/>
    <x v="29"/>
    <s v="S12000030"/>
    <n v="210"/>
    <n v="875.75"/>
    <n v="7"/>
    <n v="49.25"/>
    <m/>
    <m/>
    <m/>
    <m/>
  </r>
  <r>
    <x v="0"/>
    <x v="30"/>
    <s v="S12000039"/>
    <n v="176"/>
    <n v="797.25"/>
    <m/>
    <m/>
    <m/>
    <m/>
    <m/>
    <m/>
  </r>
  <r>
    <x v="0"/>
    <x v="31"/>
    <s v="S12000040"/>
    <n v="221"/>
    <n v="867.25"/>
    <n v="17"/>
    <n v="91.25"/>
    <m/>
    <m/>
    <m/>
    <m/>
  </r>
  <r>
    <x v="1"/>
    <x v="0"/>
    <s v="S12000033"/>
    <n v="282"/>
    <n v="1395"/>
    <n v="33"/>
    <n v="340.75"/>
    <m/>
    <m/>
    <n v="1"/>
    <n v="3.75"/>
  </r>
  <r>
    <x v="1"/>
    <x v="1"/>
    <s v="S12000034"/>
    <n v="334"/>
    <n v="2016.25"/>
    <n v="39"/>
    <n v="438"/>
    <n v="1"/>
    <n v="28.25"/>
    <m/>
    <m/>
  </r>
  <r>
    <x v="1"/>
    <x v="2"/>
    <s v="S12000041"/>
    <n v="167"/>
    <n v="768.25"/>
    <n v="7"/>
    <n v="62"/>
    <m/>
    <m/>
    <m/>
    <m/>
  </r>
  <r>
    <x v="1"/>
    <x v="3"/>
    <s v="S12000035"/>
    <n v="328"/>
    <n v="2625.5"/>
    <n v="13"/>
    <n v="134"/>
    <n v="3"/>
    <n v="51.25"/>
    <m/>
    <m/>
  </r>
  <r>
    <x v="1"/>
    <x v="4"/>
    <s v="S12000036"/>
    <n v="790"/>
    <n v="2779.75"/>
    <n v="67"/>
    <n v="415"/>
    <n v="1"/>
    <n v="32"/>
    <m/>
    <m/>
  </r>
  <r>
    <x v="1"/>
    <x v="5"/>
    <s v="S12000005"/>
    <n v="51"/>
    <n v="190"/>
    <m/>
    <m/>
    <m/>
    <m/>
    <m/>
    <m/>
  </r>
  <r>
    <x v="1"/>
    <x v="6"/>
    <s v="S12000006"/>
    <n v="236"/>
    <n v="943.25"/>
    <n v="60"/>
    <n v="445.25"/>
    <m/>
    <m/>
    <m/>
    <m/>
  </r>
  <r>
    <x v="1"/>
    <x v="7"/>
    <s v="S12000042"/>
    <n v="588"/>
    <n v="2433.5"/>
    <n v="10"/>
    <n v="76.25"/>
    <m/>
    <m/>
    <m/>
    <m/>
  </r>
  <r>
    <x v="1"/>
    <x v="8"/>
    <s v="S12000008"/>
    <n v="131"/>
    <n v="1016"/>
    <n v="12"/>
    <n v="128.75"/>
    <n v="1"/>
    <n v="28.5"/>
    <m/>
    <m/>
  </r>
  <r>
    <x v="1"/>
    <x v="9"/>
    <s v="S12000045"/>
    <n v="93"/>
    <n v="607.5"/>
    <n v="2"/>
    <n v="26.25"/>
    <m/>
    <m/>
    <m/>
    <m/>
  </r>
  <r>
    <x v="1"/>
    <x v="10"/>
    <s v="S12000010"/>
    <n v="143"/>
    <n v="628"/>
    <n v="13"/>
    <n v="106"/>
    <m/>
    <m/>
    <m/>
    <m/>
  </r>
  <r>
    <x v="1"/>
    <x v="11"/>
    <s v="S12000011"/>
    <n v="54"/>
    <n v="343.75"/>
    <n v="3"/>
    <n v="60"/>
    <m/>
    <m/>
    <m/>
    <m/>
  </r>
  <r>
    <x v="1"/>
    <x v="12"/>
    <s v="S12000014"/>
    <n v="151"/>
    <n v="754.5"/>
    <n v="9"/>
    <n v="57.25"/>
    <m/>
    <m/>
    <n v="1"/>
    <n v="11.5"/>
  </r>
  <r>
    <x v="1"/>
    <x v="13"/>
    <s v="S12000015"/>
    <n v="600"/>
    <n v="2456.75"/>
    <n v="18"/>
    <n v="153.75"/>
    <n v="1"/>
    <n v="24.75"/>
    <m/>
    <m/>
  </r>
  <r>
    <x v="1"/>
    <x v="14"/>
    <s v="S12000046"/>
    <n v="1812"/>
    <n v="7682.25"/>
    <n v="144"/>
    <n v="952.25"/>
    <n v="1"/>
    <n v="37.25"/>
    <m/>
    <m/>
  </r>
  <r>
    <x v="1"/>
    <x v="15"/>
    <s v="S12000017"/>
    <n v="287"/>
    <n v="1820.25"/>
    <n v="49"/>
    <n v="847.75"/>
    <n v="10"/>
    <n v="256.5"/>
    <m/>
    <m/>
  </r>
  <r>
    <x v="1"/>
    <x v="16"/>
    <s v="S12000018"/>
    <n v="62"/>
    <n v="263.75"/>
    <n v="1"/>
    <n v="17.25"/>
    <m/>
    <m/>
    <m/>
    <m/>
  </r>
  <r>
    <x v="1"/>
    <x v="17"/>
    <s v="S12000019"/>
    <n v="96"/>
    <n v="321.75"/>
    <n v="2"/>
    <n v="7.75"/>
    <m/>
    <m/>
    <m/>
    <m/>
  </r>
  <r>
    <x v="1"/>
    <x v="18"/>
    <s v="S12000020"/>
    <n v="175"/>
    <n v="986.75"/>
    <n v="18"/>
    <n v="256.25"/>
    <n v="2"/>
    <n v="23"/>
    <m/>
    <m/>
  </r>
  <r>
    <x v="1"/>
    <x v="19"/>
    <s v="S12000013"/>
    <n v="5"/>
    <n v="27.25"/>
    <n v="4"/>
    <n v="78.75"/>
    <m/>
    <m/>
    <m/>
    <m/>
  </r>
  <r>
    <x v="1"/>
    <x v="20"/>
    <s v="S12000021"/>
    <n v="226"/>
    <n v="1330.25"/>
    <n v="37"/>
    <n v="348.75"/>
    <m/>
    <m/>
    <m/>
    <m/>
  </r>
  <r>
    <x v="1"/>
    <x v="21"/>
    <s v="S12000044"/>
    <n v="539"/>
    <n v="3321.5"/>
    <n v="15"/>
    <n v="152.25"/>
    <m/>
    <m/>
    <m/>
    <m/>
  </r>
  <r>
    <x v="1"/>
    <x v="22"/>
    <s v="S12000023"/>
    <n v="31"/>
    <n v="146.75"/>
    <n v="1"/>
    <n v="13.25"/>
    <m/>
    <m/>
    <m/>
    <m/>
  </r>
  <r>
    <x v="1"/>
    <x v="23"/>
    <s v="S12000024"/>
    <n v="269"/>
    <n v="1484.5"/>
    <n v="1"/>
    <n v="12"/>
    <m/>
    <m/>
    <m/>
    <m/>
  </r>
  <r>
    <x v="1"/>
    <x v="24"/>
    <s v="S12000038"/>
    <n v="238"/>
    <n v="1268.75"/>
    <m/>
    <m/>
    <m/>
    <m/>
    <m/>
    <m/>
  </r>
  <r>
    <x v="1"/>
    <x v="25"/>
    <s v="S12000026"/>
    <n v="251"/>
    <n v="1101.75"/>
    <n v="39"/>
    <n v="303.5"/>
    <m/>
    <m/>
    <n v="1"/>
    <n v="5.5"/>
  </r>
  <r>
    <x v="1"/>
    <x v="26"/>
    <s v="S12000027"/>
    <n v="24"/>
    <n v="127.25"/>
    <m/>
    <m/>
    <m/>
    <m/>
    <m/>
    <m/>
  </r>
  <r>
    <x v="1"/>
    <x v="27"/>
    <s v="S12000028"/>
    <n v="274"/>
    <n v="1590.25"/>
    <n v="14"/>
    <n v="122.25"/>
    <n v="1"/>
    <n v="18.25"/>
    <m/>
    <m/>
  </r>
  <r>
    <x v="1"/>
    <x v="28"/>
    <s v="S12000029"/>
    <n v="243"/>
    <n v="1871.5"/>
    <n v="7"/>
    <n v="246.25"/>
    <n v="1"/>
    <n v="90.5"/>
    <m/>
    <m/>
  </r>
  <r>
    <x v="1"/>
    <x v="29"/>
    <s v="S12000030"/>
    <n v="332"/>
    <n v="1013.5"/>
    <n v="8"/>
    <n v="39"/>
    <n v="1"/>
    <n v="21.75"/>
    <n v="1"/>
    <n v="2.5"/>
  </r>
  <r>
    <x v="1"/>
    <x v="30"/>
    <s v="S12000039"/>
    <n v="212"/>
    <n v="933.75"/>
    <n v="8"/>
    <n v="99.75"/>
    <m/>
    <m/>
    <m/>
    <m/>
  </r>
  <r>
    <x v="1"/>
    <x v="31"/>
    <s v="S12000040"/>
    <n v="161"/>
    <n v="715.25"/>
    <n v="15"/>
    <n v="129.25"/>
    <m/>
    <m/>
    <m/>
    <m/>
  </r>
  <r>
    <x v="2"/>
    <x v="0"/>
    <s v="S12000033"/>
    <n v="415"/>
    <n v="2311"/>
    <n v="20"/>
    <n v="156.5"/>
    <n v="7"/>
    <n v="48"/>
    <m/>
    <m/>
  </r>
  <r>
    <x v="2"/>
    <x v="1"/>
    <s v="S12000034"/>
    <n v="336"/>
    <n v="2384"/>
    <n v="26"/>
    <n v="277.5"/>
    <n v="1"/>
    <n v="6.5"/>
    <m/>
    <m/>
  </r>
  <r>
    <x v="2"/>
    <x v="2"/>
    <s v="S12000041"/>
    <n v="97"/>
    <n v="396"/>
    <n v="2"/>
    <n v="19.75"/>
    <m/>
    <m/>
    <m/>
    <m/>
  </r>
  <r>
    <x v="2"/>
    <x v="3"/>
    <s v="S12000035"/>
    <n v="317"/>
    <n v="2229.75"/>
    <n v="14"/>
    <n v="172.25"/>
    <n v="2"/>
    <n v="56.5"/>
    <m/>
    <m/>
  </r>
  <r>
    <x v="2"/>
    <x v="4"/>
    <s v="S12000036"/>
    <n v="733"/>
    <n v="2765"/>
    <n v="50"/>
    <n v="314"/>
    <n v="3"/>
    <n v="28"/>
    <n v="4"/>
    <n v="8.25"/>
  </r>
  <r>
    <x v="2"/>
    <x v="5"/>
    <s v="S12000005"/>
    <n v="65"/>
    <n v="226.75"/>
    <n v="3"/>
    <n v="16"/>
    <m/>
    <m/>
    <m/>
    <m/>
  </r>
  <r>
    <x v="2"/>
    <x v="6"/>
    <s v="S12000006"/>
    <n v="307"/>
    <n v="1238"/>
    <n v="56"/>
    <n v="490.5"/>
    <m/>
    <m/>
    <n v="1"/>
    <n v="10.5"/>
  </r>
  <r>
    <x v="2"/>
    <x v="7"/>
    <s v="S12000042"/>
    <n v="653"/>
    <n v="2216"/>
    <n v="3"/>
    <n v="17.25"/>
    <m/>
    <m/>
    <n v="2"/>
    <n v="16.5"/>
  </r>
  <r>
    <x v="2"/>
    <x v="8"/>
    <s v="S12000008"/>
    <n v="152"/>
    <n v="1162.5"/>
    <n v="12"/>
    <n v="126.25"/>
    <n v="1"/>
    <n v="12.75"/>
    <m/>
    <m/>
  </r>
  <r>
    <x v="2"/>
    <x v="9"/>
    <s v="S12000045"/>
    <n v="77"/>
    <n v="520.25"/>
    <n v="4"/>
    <n v="57"/>
    <m/>
    <m/>
    <m/>
    <m/>
  </r>
  <r>
    <x v="2"/>
    <x v="10"/>
    <s v="S12000010"/>
    <n v="126"/>
    <n v="481.75"/>
    <n v="13"/>
    <n v="102.25"/>
    <m/>
    <m/>
    <m/>
    <m/>
  </r>
  <r>
    <x v="2"/>
    <x v="11"/>
    <s v="S12000011"/>
    <n v="76"/>
    <n v="571.5"/>
    <n v="4"/>
    <n v="107.75"/>
    <m/>
    <m/>
    <m/>
    <m/>
  </r>
  <r>
    <x v="2"/>
    <x v="12"/>
    <s v="S12000014"/>
    <n v="152"/>
    <n v="799.75"/>
    <n v="8"/>
    <n v="89.25"/>
    <m/>
    <m/>
    <m/>
    <m/>
  </r>
  <r>
    <x v="2"/>
    <x v="13"/>
    <s v="S12000015"/>
    <n v="452"/>
    <n v="1850"/>
    <n v="30"/>
    <n v="353.5"/>
    <n v="1"/>
    <n v="76.75"/>
    <m/>
    <m/>
  </r>
  <r>
    <x v="2"/>
    <x v="14"/>
    <s v="S12000046"/>
    <n v="1457"/>
    <n v="6398"/>
    <n v="105"/>
    <n v="596"/>
    <m/>
    <m/>
    <m/>
    <m/>
  </r>
  <r>
    <x v="2"/>
    <x v="15"/>
    <s v="S12000017"/>
    <n v="241"/>
    <n v="1483.75"/>
    <n v="27"/>
    <n v="284.75"/>
    <n v="1"/>
    <n v="9.5"/>
    <n v="1"/>
    <n v="6.5"/>
  </r>
  <r>
    <x v="2"/>
    <x v="16"/>
    <s v="S12000018"/>
    <n v="107"/>
    <n v="429.5"/>
    <n v="8"/>
    <n v="55"/>
    <m/>
    <m/>
    <m/>
    <m/>
  </r>
  <r>
    <x v="2"/>
    <x v="17"/>
    <s v="S12000019"/>
    <n v="93"/>
    <n v="285.75"/>
    <n v="4"/>
    <n v="21"/>
    <m/>
    <m/>
    <m/>
    <m/>
  </r>
  <r>
    <x v="2"/>
    <x v="18"/>
    <s v="S12000020"/>
    <n v="136"/>
    <n v="833.25"/>
    <n v="6"/>
    <n v="94.25"/>
    <n v="1"/>
    <n v="7"/>
    <m/>
    <m/>
  </r>
  <r>
    <x v="2"/>
    <x v="19"/>
    <s v="S12000013"/>
    <n v="16"/>
    <n v="73.25"/>
    <n v="5"/>
    <n v="96.5"/>
    <n v="1"/>
    <n v="28.75"/>
    <m/>
    <m/>
  </r>
  <r>
    <x v="2"/>
    <x v="20"/>
    <s v="S12000021"/>
    <n v="212"/>
    <n v="982.75"/>
    <n v="18"/>
    <n v="181.75"/>
    <m/>
    <m/>
    <m/>
    <m/>
  </r>
  <r>
    <x v="2"/>
    <x v="21"/>
    <s v="S12000044"/>
    <n v="485"/>
    <n v="2741.25"/>
    <n v="11"/>
    <n v="112"/>
    <m/>
    <m/>
    <m/>
    <m/>
  </r>
  <r>
    <x v="2"/>
    <x v="22"/>
    <s v="S12000023"/>
    <n v="24"/>
    <n v="132.75"/>
    <n v="5"/>
    <n v="53.25"/>
    <m/>
    <m/>
    <m/>
    <m/>
  </r>
  <r>
    <x v="2"/>
    <x v="23"/>
    <s v="S12000024"/>
    <n v="279"/>
    <n v="1366.25"/>
    <n v="8"/>
    <n v="59.5"/>
    <m/>
    <m/>
    <m/>
    <m/>
  </r>
  <r>
    <x v="2"/>
    <x v="24"/>
    <s v="S12000038"/>
    <n v="164"/>
    <n v="1078.5"/>
    <n v="5"/>
    <n v="60"/>
    <m/>
    <m/>
    <m/>
    <m/>
  </r>
  <r>
    <x v="2"/>
    <x v="25"/>
    <s v="S12000026"/>
    <n v="243"/>
    <n v="1093.5"/>
    <n v="42"/>
    <n v="392.75"/>
    <n v="1"/>
    <n v="32"/>
    <n v="1"/>
    <n v="6.5"/>
  </r>
  <r>
    <x v="2"/>
    <x v="26"/>
    <s v="S12000027"/>
    <n v="14"/>
    <n v="67"/>
    <n v="2"/>
    <n v="22"/>
    <m/>
    <m/>
    <n v="3"/>
    <n v="24"/>
  </r>
  <r>
    <x v="2"/>
    <x v="27"/>
    <s v="S12000028"/>
    <n v="294"/>
    <n v="1861.5"/>
    <n v="16"/>
    <n v="121.75"/>
    <n v="1"/>
    <n v="17.25"/>
    <m/>
    <m/>
  </r>
  <r>
    <x v="2"/>
    <x v="28"/>
    <s v="S12000029"/>
    <n v="243"/>
    <n v="1452.5"/>
    <n v="8"/>
    <n v="235.75"/>
    <n v="1"/>
    <n v="72.25"/>
    <m/>
    <m/>
  </r>
  <r>
    <x v="2"/>
    <x v="29"/>
    <s v="S12000030"/>
    <n v="146"/>
    <n v="598.5"/>
    <n v="14"/>
    <n v="101.25"/>
    <m/>
    <m/>
    <m/>
    <m/>
  </r>
  <r>
    <x v="2"/>
    <x v="30"/>
    <s v="S12000039"/>
    <n v="118"/>
    <n v="596.75"/>
    <n v="3"/>
    <n v="39.25"/>
    <m/>
    <m/>
    <m/>
    <m/>
  </r>
  <r>
    <x v="2"/>
    <x v="31"/>
    <s v="S12000040"/>
    <n v="155"/>
    <n v="749"/>
    <n v="22"/>
    <n v="164.25"/>
    <m/>
    <m/>
    <m/>
    <m/>
  </r>
  <r>
    <x v="3"/>
    <x v="0"/>
    <s v="S12000033"/>
    <n v="294"/>
    <n v="1570.5"/>
    <n v="21"/>
    <n v="212.25"/>
    <n v="2"/>
    <n v="57.5"/>
    <n v="1"/>
    <n v="3.5"/>
  </r>
  <r>
    <x v="3"/>
    <x v="1"/>
    <s v="S12000034"/>
    <n v="317"/>
    <n v="2121"/>
    <n v="27"/>
    <n v="291.25"/>
    <m/>
    <m/>
    <n v="1"/>
    <n v="23.25"/>
  </r>
  <r>
    <x v="3"/>
    <x v="2"/>
    <s v="S12000041"/>
    <n v="99"/>
    <n v="422.25"/>
    <n v="20"/>
    <n v="92.5"/>
    <n v="2"/>
    <n v="11"/>
    <n v="1"/>
    <n v="7.5"/>
  </r>
  <r>
    <x v="3"/>
    <x v="3"/>
    <s v="S12000035"/>
    <n v="171"/>
    <n v="1143.75"/>
    <n v="14"/>
    <n v="157.75"/>
    <n v="1"/>
    <n v="14.5"/>
    <m/>
    <m/>
  </r>
  <r>
    <x v="3"/>
    <x v="4"/>
    <s v="S12000036"/>
    <n v="707"/>
    <n v="2618.75"/>
    <n v="37"/>
    <n v="234.5"/>
    <m/>
    <m/>
    <n v="4"/>
    <n v="10"/>
  </r>
  <r>
    <x v="3"/>
    <x v="5"/>
    <s v="S12000005"/>
    <n v="56"/>
    <n v="253.5"/>
    <n v="8"/>
    <n v="36.75"/>
    <m/>
    <m/>
    <n v="1"/>
    <n v="10.25"/>
  </r>
  <r>
    <x v="3"/>
    <x v="6"/>
    <s v="S12000006"/>
    <n v="346"/>
    <n v="1646"/>
    <n v="33"/>
    <n v="312.25"/>
    <m/>
    <m/>
    <m/>
    <m/>
  </r>
  <r>
    <x v="3"/>
    <x v="7"/>
    <s v="S12000042"/>
    <n v="299"/>
    <n v="1117.25"/>
    <n v="7"/>
    <n v="57.75"/>
    <m/>
    <m/>
    <n v="1"/>
    <n v="7"/>
  </r>
  <r>
    <x v="3"/>
    <x v="8"/>
    <s v="S12000008"/>
    <n v="155"/>
    <n v="975"/>
    <n v="10"/>
    <n v="143"/>
    <n v="1"/>
    <n v="51.75"/>
    <m/>
    <m/>
  </r>
  <r>
    <x v="3"/>
    <x v="9"/>
    <s v="S12000045"/>
    <n v="86"/>
    <n v="611"/>
    <n v="6"/>
    <n v="67.25"/>
    <m/>
    <m/>
    <m/>
    <m/>
  </r>
  <r>
    <x v="3"/>
    <x v="10"/>
    <s v="S12000010"/>
    <n v="138"/>
    <n v="536.5"/>
    <n v="6"/>
    <n v="35.75"/>
    <m/>
    <m/>
    <m/>
    <m/>
  </r>
  <r>
    <x v="3"/>
    <x v="11"/>
    <s v="S12000011"/>
    <n v="27"/>
    <n v="236.5"/>
    <n v="3"/>
    <n v="49.75"/>
    <m/>
    <m/>
    <m/>
    <m/>
  </r>
  <r>
    <x v="3"/>
    <x v="12"/>
    <s v="S12000014"/>
    <n v="148"/>
    <n v="843"/>
    <n v="11"/>
    <n v="143.25"/>
    <m/>
    <m/>
    <m/>
    <m/>
  </r>
  <r>
    <x v="3"/>
    <x v="13"/>
    <s v="S12000015"/>
    <n v="450"/>
    <n v="1686.5"/>
    <n v="14"/>
    <n v="150.5"/>
    <n v="2"/>
    <n v="38.75"/>
    <n v="2"/>
    <n v="19.5"/>
  </r>
  <r>
    <x v="3"/>
    <x v="14"/>
    <s v="S12000046"/>
    <n v="1125"/>
    <n v="4472.75"/>
    <n v="62"/>
    <n v="403"/>
    <m/>
    <m/>
    <m/>
    <m/>
  </r>
  <r>
    <x v="3"/>
    <x v="15"/>
    <s v="S12000017"/>
    <n v="227"/>
    <n v="1333"/>
    <n v="59"/>
    <n v="1064.25"/>
    <n v="6"/>
    <n v="232"/>
    <n v="4"/>
    <n v="38.5"/>
  </r>
  <r>
    <x v="3"/>
    <x v="16"/>
    <s v="S12000018"/>
    <n v="57"/>
    <n v="256.5"/>
    <n v="8"/>
    <n v="62"/>
    <m/>
    <m/>
    <m/>
    <m/>
  </r>
  <r>
    <x v="3"/>
    <x v="17"/>
    <s v="S12000019"/>
    <n v="94"/>
    <n v="477.5"/>
    <n v="1"/>
    <n v="4.25"/>
    <m/>
    <m/>
    <m/>
    <m/>
  </r>
  <r>
    <x v="3"/>
    <x v="18"/>
    <s v="S12000020"/>
    <n v="207"/>
    <n v="1131.25"/>
    <n v="9"/>
    <n v="130.75"/>
    <m/>
    <m/>
    <m/>
    <m/>
  </r>
  <r>
    <x v="3"/>
    <x v="19"/>
    <s v="S12000013"/>
    <n v="19"/>
    <n v="163.25"/>
    <n v="4"/>
    <n v="93.25"/>
    <n v="1"/>
    <n v="60"/>
    <m/>
    <m/>
  </r>
  <r>
    <x v="3"/>
    <x v="20"/>
    <s v="S12000021"/>
    <n v="94"/>
    <n v="542.75"/>
    <n v="8"/>
    <n v="85.75"/>
    <m/>
    <m/>
    <m/>
    <m/>
  </r>
  <r>
    <x v="3"/>
    <x v="21"/>
    <s v="S12000044"/>
    <n v="344"/>
    <n v="1826.5"/>
    <n v="7"/>
    <n v="65.5"/>
    <m/>
    <m/>
    <m/>
    <m/>
  </r>
  <r>
    <x v="3"/>
    <x v="22"/>
    <s v="S12000023"/>
    <n v="10"/>
    <n v="46.75"/>
    <n v="3"/>
    <n v="44.25"/>
    <m/>
    <m/>
    <m/>
    <m/>
  </r>
  <r>
    <x v="3"/>
    <x v="23"/>
    <s v="S12000024"/>
    <n v="284"/>
    <n v="1240.75"/>
    <n v="9"/>
    <n v="81.25"/>
    <m/>
    <m/>
    <m/>
    <m/>
  </r>
  <r>
    <x v="3"/>
    <x v="24"/>
    <s v="S12000038"/>
    <n v="82"/>
    <n v="508.5"/>
    <n v="9"/>
    <n v="126"/>
    <m/>
    <m/>
    <m/>
    <m/>
  </r>
  <r>
    <x v="3"/>
    <x v="25"/>
    <s v="S12000026"/>
    <n v="218"/>
    <n v="1084.25"/>
    <n v="13"/>
    <n v="97.75"/>
    <m/>
    <m/>
    <m/>
    <m/>
  </r>
  <r>
    <x v="3"/>
    <x v="26"/>
    <s v="S12000027"/>
    <n v="22"/>
    <n v="189"/>
    <n v="1"/>
    <n v="8"/>
    <m/>
    <m/>
    <n v="1"/>
    <n v="3.5"/>
  </r>
  <r>
    <x v="3"/>
    <x v="27"/>
    <s v="S12000028"/>
    <n v="310"/>
    <n v="1986.75"/>
    <n v="9"/>
    <n v="68.75"/>
    <m/>
    <m/>
    <m/>
    <m/>
  </r>
  <r>
    <x v="3"/>
    <x v="28"/>
    <s v="S12000029"/>
    <n v="321"/>
    <n v="1386.5"/>
    <n v="12"/>
    <n v="171.5"/>
    <m/>
    <m/>
    <m/>
    <m/>
  </r>
  <r>
    <x v="3"/>
    <x v="29"/>
    <s v="S12000030"/>
    <n v="203"/>
    <n v="910.5"/>
    <n v="21"/>
    <n v="135.5"/>
    <m/>
    <m/>
    <n v="1"/>
    <n v="5.5"/>
  </r>
  <r>
    <x v="3"/>
    <x v="30"/>
    <s v="S12000039"/>
    <n v="100"/>
    <n v="682.75"/>
    <n v="9"/>
    <n v="115.25"/>
    <m/>
    <m/>
    <m/>
    <m/>
  </r>
  <r>
    <x v="3"/>
    <x v="31"/>
    <s v="S12000040"/>
    <n v="157"/>
    <n v="667.75"/>
    <n v="7"/>
    <n v="40.5"/>
    <m/>
    <m/>
    <m/>
    <m/>
  </r>
  <r>
    <x v="4"/>
    <x v="0"/>
    <s v="S12000033"/>
    <n v="349"/>
    <n v="2090"/>
    <n v="15"/>
    <n v="161"/>
    <m/>
    <m/>
    <n v="2"/>
    <n v="4.5"/>
  </r>
  <r>
    <x v="4"/>
    <x v="1"/>
    <s v="S12000034"/>
    <n v="344"/>
    <n v="1895"/>
    <n v="29"/>
    <n v="240.5"/>
    <m/>
    <m/>
    <n v="1"/>
    <n v="7.5"/>
  </r>
  <r>
    <x v="4"/>
    <x v="2"/>
    <s v="S12000041"/>
    <n v="115"/>
    <n v="476.75"/>
    <n v="11"/>
    <n v="49.5"/>
    <n v="1"/>
    <n v="6"/>
    <m/>
    <m/>
  </r>
  <r>
    <x v="4"/>
    <x v="3"/>
    <s v="S12000035"/>
    <n v="205"/>
    <n v="1662"/>
    <n v="15"/>
    <n v="154.75"/>
    <m/>
    <m/>
    <m/>
    <m/>
  </r>
  <r>
    <x v="4"/>
    <x v="4"/>
    <s v="S12000036"/>
    <n v="672"/>
    <n v="2918.5"/>
    <n v="42"/>
    <n v="362.75"/>
    <n v="5"/>
    <n v="63.5"/>
    <n v="4"/>
    <n v="16"/>
  </r>
  <r>
    <x v="4"/>
    <x v="5"/>
    <s v="S12000005"/>
    <n v="69"/>
    <n v="332.5"/>
    <n v="1"/>
    <n v="8.5"/>
    <m/>
    <m/>
    <m/>
    <m/>
  </r>
  <r>
    <x v="4"/>
    <x v="6"/>
    <s v="S12000006"/>
    <n v="420"/>
    <n v="2070.25"/>
    <n v="20"/>
    <n v="205.5"/>
    <n v="2"/>
    <n v="17"/>
    <m/>
    <m/>
  </r>
  <r>
    <x v="4"/>
    <x v="7"/>
    <s v="S12000042"/>
    <n v="371"/>
    <n v="1559.5"/>
    <n v="10"/>
    <n v="90.75"/>
    <m/>
    <m/>
    <n v="3"/>
    <n v="23.5"/>
  </r>
  <r>
    <x v="4"/>
    <x v="8"/>
    <s v="S12000008"/>
    <n v="138"/>
    <n v="837.25"/>
    <n v="7"/>
    <n v="59"/>
    <m/>
    <m/>
    <m/>
    <m/>
  </r>
  <r>
    <x v="4"/>
    <x v="9"/>
    <s v="S12000045"/>
    <n v="82"/>
    <n v="447.75"/>
    <n v="2"/>
    <n v="30"/>
    <m/>
    <m/>
    <m/>
    <m/>
  </r>
  <r>
    <x v="4"/>
    <x v="10"/>
    <s v="S12000010"/>
    <n v="144"/>
    <n v="567.25"/>
    <n v="5"/>
    <n v="34.5"/>
    <m/>
    <m/>
    <m/>
    <m/>
  </r>
  <r>
    <x v="4"/>
    <x v="11"/>
    <s v="S12000011"/>
    <n v="34"/>
    <n v="234"/>
    <n v="2"/>
    <n v="18.75"/>
    <m/>
    <m/>
    <m/>
    <m/>
  </r>
  <r>
    <x v="4"/>
    <x v="12"/>
    <s v="S12000014"/>
    <n v="201"/>
    <n v="1063.25"/>
    <m/>
    <m/>
    <m/>
    <m/>
    <m/>
    <m/>
  </r>
  <r>
    <x v="4"/>
    <x v="13"/>
    <s v="S12000015"/>
    <n v="644"/>
    <n v="2085.75"/>
    <n v="13"/>
    <n v="127"/>
    <n v="2"/>
    <n v="52"/>
    <m/>
    <m/>
  </r>
  <r>
    <x v="4"/>
    <x v="14"/>
    <s v="S12000046"/>
    <n v="1067"/>
    <n v="4671"/>
    <n v="59"/>
    <n v="525.75"/>
    <n v="3"/>
    <n v="49.25"/>
    <m/>
    <m/>
  </r>
  <r>
    <x v="4"/>
    <x v="15"/>
    <s v="S12000017"/>
    <n v="172"/>
    <n v="1061.75"/>
    <n v="24"/>
    <n v="392.5"/>
    <n v="1"/>
    <n v="70.75"/>
    <n v="7"/>
    <n v="123"/>
  </r>
  <r>
    <x v="4"/>
    <x v="16"/>
    <s v="S12000018"/>
    <n v="73"/>
    <n v="338.75"/>
    <n v="5"/>
    <n v="63"/>
    <n v="1"/>
    <n v="33.25"/>
    <m/>
    <m/>
  </r>
  <r>
    <x v="4"/>
    <x v="17"/>
    <s v="S12000019"/>
    <n v="131"/>
    <n v="878.5"/>
    <n v="7"/>
    <n v="91.25"/>
    <m/>
    <m/>
    <m/>
    <m/>
  </r>
  <r>
    <x v="4"/>
    <x v="18"/>
    <s v="S12000020"/>
    <n v="124"/>
    <n v="579.75"/>
    <n v="6"/>
    <n v="75.25"/>
    <m/>
    <m/>
    <n v="1"/>
    <m/>
  </r>
  <r>
    <x v="4"/>
    <x v="19"/>
    <s v="S12000013"/>
    <n v="21"/>
    <n v="73.5"/>
    <m/>
    <m/>
    <m/>
    <m/>
    <m/>
    <m/>
  </r>
  <r>
    <x v="4"/>
    <x v="20"/>
    <s v="S12000021"/>
    <n v="239"/>
    <n v="1222.25"/>
    <n v="5"/>
    <n v="47"/>
    <m/>
    <m/>
    <m/>
    <m/>
  </r>
  <r>
    <x v="4"/>
    <x v="21"/>
    <s v="S12000044"/>
    <n v="294"/>
    <n v="1348"/>
    <n v="13"/>
    <n v="182.75"/>
    <n v="2"/>
    <n v="68.75"/>
    <n v="1"/>
    <n v="63"/>
  </r>
  <r>
    <x v="4"/>
    <x v="22"/>
    <s v="S12000023"/>
    <n v="9"/>
    <n v="42.5"/>
    <m/>
    <m/>
    <m/>
    <m/>
    <m/>
    <m/>
  </r>
  <r>
    <x v="4"/>
    <x v="23"/>
    <s v="S12000024"/>
    <n v="281"/>
    <n v="1204.5"/>
    <n v="12"/>
    <n v="81"/>
    <n v="1"/>
    <n v="14.25"/>
    <m/>
    <m/>
  </r>
  <r>
    <x v="4"/>
    <x v="24"/>
    <s v="S12000038"/>
    <n v="163"/>
    <n v="836"/>
    <n v="6"/>
    <n v="94"/>
    <m/>
    <m/>
    <m/>
    <m/>
  </r>
  <r>
    <x v="4"/>
    <x v="25"/>
    <s v="S12000026"/>
    <n v="202"/>
    <n v="998.75"/>
    <n v="17"/>
    <n v="142.5"/>
    <m/>
    <m/>
    <m/>
    <m/>
  </r>
  <r>
    <x v="4"/>
    <x v="26"/>
    <s v="S12000027"/>
    <n v="14"/>
    <n v="110.25"/>
    <n v="2"/>
    <n v="23.75"/>
    <m/>
    <m/>
    <m/>
    <m/>
  </r>
  <r>
    <x v="4"/>
    <x v="27"/>
    <s v="S12000028"/>
    <n v="216"/>
    <n v="1373.25"/>
    <n v="13"/>
    <n v="108"/>
    <n v="3"/>
    <n v="44.25"/>
    <n v="1"/>
    <m/>
  </r>
  <r>
    <x v="4"/>
    <x v="28"/>
    <s v="S12000029"/>
    <n v="242"/>
    <n v="1512.25"/>
    <n v="10"/>
    <n v="273"/>
    <n v="1"/>
    <n v="102.75"/>
    <m/>
    <m/>
  </r>
  <r>
    <x v="4"/>
    <x v="29"/>
    <s v="S12000030"/>
    <n v="190"/>
    <n v="759"/>
    <n v="3"/>
    <n v="38.75"/>
    <m/>
    <m/>
    <m/>
    <m/>
  </r>
  <r>
    <x v="4"/>
    <x v="30"/>
    <s v="S12000039"/>
    <n v="74"/>
    <n v="427"/>
    <n v="5"/>
    <n v="44.75"/>
    <m/>
    <m/>
    <m/>
    <m/>
  </r>
  <r>
    <x v="4"/>
    <x v="31"/>
    <s v="S12000040"/>
    <n v="208"/>
    <n v="775.5"/>
    <n v="5"/>
    <n v="33.5"/>
    <m/>
    <m/>
    <m/>
    <m/>
  </r>
</pivotCacheRecords>
</file>

<file path=xl/pivotCache/pivotCacheRecords18.xml><?xml version="1.0" encoding="utf-8"?>
<pivotCacheRecords xmlns="http://schemas.openxmlformats.org/spreadsheetml/2006/main" xmlns:r="http://schemas.openxmlformats.org/officeDocument/2006/relationships" count="96">
  <r>
    <x v="0"/>
    <x v="0"/>
    <s v="S12000033"/>
    <n v="15"/>
    <n v="1"/>
    <n v="1"/>
    <n v="8"/>
    <n v="5"/>
  </r>
  <r>
    <x v="0"/>
    <x v="1"/>
    <s v="S12000034"/>
    <n v="36"/>
    <m/>
    <n v="4"/>
    <n v="31"/>
    <n v="1"/>
  </r>
  <r>
    <x v="0"/>
    <x v="2"/>
    <s v="S12000041"/>
    <n v="12"/>
    <m/>
    <m/>
    <n v="11"/>
    <n v="1"/>
  </r>
  <r>
    <x v="0"/>
    <x v="3"/>
    <s v="S12000035"/>
    <n v="47"/>
    <n v="1"/>
    <n v="25"/>
    <n v="21"/>
    <m/>
  </r>
  <r>
    <x v="0"/>
    <x v="4"/>
    <s v="S12000036"/>
    <n v="25"/>
    <n v="5"/>
    <n v="2"/>
    <n v="12"/>
    <n v="6"/>
  </r>
  <r>
    <x v="0"/>
    <x v="5"/>
    <s v="S12000005"/>
    <n v="3"/>
    <m/>
    <n v="1"/>
    <n v="2"/>
    <m/>
  </r>
  <r>
    <x v="0"/>
    <x v="6"/>
    <s v="S12000006"/>
    <n v="29"/>
    <n v="1"/>
    <n v="8"/>
    <n v="20"/>
    <m/>
  </r>
  <r>
    <x v="0"/>
    <x v="7"/>
    <s v="S12000042"/>
    <n v="25"/>
    <n v="1"/>
    <n v="2"/>
    <n v="13"/>
    <n v="9"/>
  </r>
  <r>
    <x v="0"/>
    <x v="8"/>
    <s v="S12000008"/>
    <n v="11"/>
    <n v="1"/>
    <m/>
    <n v="9"/>
    <n v="1"/>
  </r>
  <r>
    <x v="0"/>
    <x v="9"/>
    <s v="S12000045"/>
    <n v="5"/>
    <m/>
    <m/>
    <n v="3"/>
    <n v="2"/>
  </r>
  <r>
    <x v="0"/>
    <x v="10"/>
    <s v="S12000010"/>
    <n v="7"/>
    <m/>
    <m/>
    <n v="7"/>
    <m/>
  </r>
  <r>
    <x v="0"/>
    <x v="11"/>
    <s v="S12000011"/>
    <n v="2"/>
    <m/>
    <m/>
    <n v="2"/>
    <m/>
  </r>
  <r>
    <x v="0"/>
    <x v="12"/>
    <s v="S12000014"/>
    <n v="14"/>
    <n v="1"/>
    <n v="4"/>
    <n v="7"/>
    <n v="2"/>
  </r>
  <r>
    <x v="0"/>
    <x v="13"/>
    <s v="S12000047"/>
    <n v="28"/>
    <n v="2"/>
    <n v="7"/>
    <n v="17"/>
    <n v="2"/>
  </r>
  <r>
    <x v="0"/>
    <x v="14"/>
    <s v="S12000046"/>
    <n v="27"/>
    <n v="3"/>
    <n v="6"/>
    <n v="18"/>
    <m/>
  </r>
  <r>
    <x v="0"/>
    <x v="15"/>
    <s v="S12000017"/>
    <n v="83"/>
    <n v="1"/>
    <n v="12"/>
    <n v="67"/>
    <n v="3"/>
  </r>
  <r>
    <x v="0"/>
    <x v="16"/>
    <s v="S12000018"/>
    <n v="8"/>
    <n v="1"/>
    <n v="1"/>
    <n v="6"/>
    <m/>
  </r>
  <r>
    <x v="0"/>
    <x v="17"/>
    <s v="S12000019"/>
    <n v="5"/>
    <m/>
    <n v="2"/>
    <n v="3"/>
    <m/>
  </r>
  <r>
    <x v="0"/>
    <x v="18"/>
    <s v="S12000020"/>
    <n v="19"/>
    <m/>
    <n v="6"/>
    <n v="13"/>
    <m/>
  </r>
  <r>
    <x v="0"/>
    <x v="19"/>
    <s v="S12000013"/>
    <n v="17"/>
    <m/>
    <n v="1"/>
    <n v="16"/>
    <m/>
  </r>
  <r>
    <x v="0"/>
    <x v="20"/>
    <s v="S12000021"/>
    <n v="20"/>
    <m/>
    <n v="5"/>
    <n v="14"/>
    <n v="1"/>
  </r>
  <r>
    <x v="0"/>
    <x v="21"/>
    <s v="S12000044"/>
    <n v="16"/>
    <n v="2"/>
    <n v="3"/>
    <n v="8"/>
    <n v="3"/>
  </r>
  <r>
    <x v="0"/>
    <x v="22"/>
    <s v="S12000023"/>
    <n v="15"/>
    <m/>
    <n v="1"/>
    <n v="14"/>
    <m/>
  </r>
  <r>
    <x v="0"/>
    <x v="23"/>
    <s v="S12000024"/>
    <n v="24"/>
    <n v="1"/>
    <n v="5"/>
    <n v="16"/>
    <n v="2"/>
  </r>
  <r>
    <x v="0"/>
    <x v="24"/>
    <s v="S12000038"/>
    <n v="8"/>
    <n v="2"/>
    <n v="2"/>
    <n v="4"/>
    <m/>
  </r>
  <r>
    <x v="0"/>
    <x v="25"/>
    <s v="S12000026"/>
    <n v="21"/>
    <m/>
    <n v="3"/>
    <n v="16"/>
    <n v="2"/>
  </r>
  <r>
    <x v="0"/>
    <x v="26"/>
    <s v="S12000027"/>
    <n v="17"/>
    <m/>
    <n v="1"/>
    <n v="16"/>
    <m/>
  </r>
  <r>
    <x v="0"/>
    <x v="27"/>
    <s v="S12000028"/>
    <n v="9"/>
    <n v="1"/>
    <n v="1"/>
    <n v="7"/>
    <m/>
  </r>
  <r>
    <x v="0"/>
    <x v="28"/>
    <s v="S12000029"/>
    <n v="23"/>
    <n v="1"/>
    <n v="7"/>
    <n v="14"/>
    <n v="1"/>
  </r>
  <r>
    <x v="0"/>
    <x v="29"/>
    <s v="S12000030"/>
    <n v="16"/>
    <m/>
    <n v="6"/>
    <n v="10"/>
    <m/>
  </r>
  <r>
    <x v="0"/>
    <x v="30"/>
    <s v="S12000039"/>
    <n v="7"/>
    <n v="1"/>
    <n v="1"/>
    <n v="4"/>
    <n v="1"/>
  </r>
  <r>
    <x v="0"/>
    <x v="31"/>
    <s v="S12000040"/>
    <n v="12"/>
    <m/>
    <n v="2"/>
    <n v="9"/>
    <n v="1"/>
  </r>
  <r>
    <x v="1"/>
    <x v="0"/>
    <s v="S12000033"/>
    <n v="18"/>
    <n v="1"/>
    <n v="3"/>
    <n v="8"/>
    <n v="6"/>
  </r>
  <r>
    <x v="1"/>
    <x v="1"/>
    <s v="S12000034"/>
    <n v="37"/>
    <m/>
    <n v="5"/>
    <n v="31"/>
    <n v="1"/>
  </r>
  <r>
    <x v="1"/>
    <x v="2"/>
    <s v="S12000041"/>
    <n v="12"/>
    <m/>
    <m/>
    <n v="11"/>
    <n v="1"/>
  </r>
  <r>
    <x v="1"/>
    <x v="3"/>
    <s v="S12000035"/>
    <n v="48"/>
    <n v="1"/>
    <n v="26"/>
    <n v="21"/>
    <m/>
  </r>
  <r>
    <x v="1"/>
    <x v="4"/>
    <s v="S12000036"/>
    <n v="21"/>
    <n v="3"/>
    <n v="1"/>
    <n v="12"/>
    <n v="5"/>
  </r>
  <r>
    <x v="1"/>
    <x v="5"/>
    <s v="S12000005"/>
    <n v="5"/>
    <m/>
    <n v="2"/>
    <n v="3"/>
    <m/>
  </r>
  <r>
    <x v="1"/>
    <x v="6"/>
    <s v="S12000006"/>
    <n v="29"/>
    <n v="1"/>
    <n v="8"/>
    <n v="20"/>
    <m/>
  </r>
  <r>
    <x v="1"/>
    <x v="7"/>
    <s v="S12000042"/>
    <n v="22"/>
    <n v="1"/>
    <n v="3"/>
    <n v="8"/>
    <n v="10"/>
  </r>
  <r>
    <x v="1"/>
    <x v="8"/>
    <s v="S12000008"/>
    <n v="11"/>
    <n v="1"/>
    <m/>
    <n v="9"/>
    <n v="1"/>
  </r>
  <r>
    <x v="1"/>
    <x v="9"/>
    <s v="S12000045"/>
    <n v="5"/>
    <m/>
    <m/>
    <n v="3"/>
    <n v="2"/>
  </r>
  <r>
    <x v="1"/>
    <x v="10"/>
    <s v="S12000010"/>
    <n v="8"/>
    <m/>
    <m/>
    <n v="8"/>
    <m/>
  </r>
  <r>
    <x v="1"/>
    <x v="11"/>
    <s v="S12000011"/>
    <n v="2"/>
    <m/>
    <m/>
    <n v="2"/>
    <m/>
  </r>
  <r>
    <x v="1"/>
    <x v="12"/>
    <s v="S12000014"/>
    <n v="16"/>
    <n v="1"/>
    <n v="4"/>
    <n v="9"/>
    <n v="2"/>
  </r>
  <r>
    <x v="1"/>
    <x v="13"/>
    <s v="S12000047"/>
    <n v="30"/>
    <n v="2"/>
    <n v="6"/>
    <n v="20"/>
    <n v="2"/>
  </r>
  <r>
    <x v="1"/>
    <x v="14"/>
    <s v="S12000046"/>
    <n v="28"/>
    <n v="4"/>
    <n v="6"/>
    <n v="18"/>
    <m/>
  </r>
  <r>
    <x v="1"/>
    <x v="15"/>
    <s v="S12000017"/>
    <n v="80"/>
    <n v="1"/>
    <n v="12"/>
    <n v="64"/>
    <n v="3"/>
  </r>
  <r>
    <x v="1"/>
    <x v="16"/>
    <s v="S12000018"/>
    <n v="7"/>
    <n v="1"/>
    <m/>
    <n v="6"/>
    <m/>
  </r>
  <r>
    <x v="1"/>
    <x v="17"/>
    <s v="S12000019"/>
    <n v="3"/>
    <m/>
    <n v="1"/>
    <n v="2"/>
    <m/>
  </r>
  <r>
    <x v="1"/>
    <x v="18"/>
    <s v="S12000020"/>
    <n v="19"/>
    <m/>
    <n v="5"/>
    <n v="13"/>
    <n v="1"/>
  </r>
  <r>
    <x v="1"/>
    <x v="19"/>
    <s v="S12000013"/>
    <n v="17"/>
    <m/>
    <n v="1"/>
    <n v="16"/>
    <m/>
  </r>
  <r>
    <x v="1"/>
    <x v="20"/>
    <s v="S12000021"/>
    <n v="20"/>
    <m/>
    <n v="4"/>
    <n v="15"/>
    <n v="1"/>
  </r>
  <r>
    <x v="1"/>
    <x v="21"/>
    <s v="S12000044"/>
    <n v="18"/>
    <n v="2"/>
    <n v="4"/>
    <n v="8"/>
    <n v="4"/>
  </r>
  <r>
    <x v="1"/>
    <x v="22"/>
    <s v="S12000023"/>
    <n v="16"/>
    <m/>
    <n v="1"/>
    <n v="15"/>
    <m/>
  </r>
  <r>
    <x v="1"/>
    <x v="23"/>
    <s v="S12000024"/>
    <n v="22"/>
    <n v="1"/>
    <n v="4"/>
    <n v="16"/>
    <n v="1"/>
  </r>
  <r>
    <x v="1"/>
    <x v="24"/>
    <s v="S12000038"/>
    <n v="9"/>
    <n v="2"/>
    <n v="3"/>
    <n v="4"/>
    <m/>
  </r>
  <r>
    <x v="1"/>
    <x v="25"/>
    <s v="S12000026"/>
    <n v="19"/>
    <m/>
    <n v="2"/>
    <n v="17"/>
    <m/>
  </r>
  <r>
    <x v="1"/>
    <x v="26"/>
    <s v="S12000027"/>
    <n v="18"/>
    <m/>
    <n v="2"/>
    <n v="16"/>
    <m/>
  </r>
  <r>
    <x v="1"/>
    <x v="27"/>
    <s v="S12000028"/>
    <n v="9"/>
    <n v="1"/>
    <n v="1"/>
    <n v="7"/>
    <m/>
  </r>
  <r>
    <x v="1"/>
    <x v="28"/>
    <s v="S12000029"/>
    <n v="23"/>
    <n v="1"/>
    <n v="7"/>
    <n v="14"/>
    <n v="1"/>
  </r>
  <r>
    <x v="1"/>
    <x v="29"/>
    <s v="S12000030"/>
    <n v="15"/>
    <m/>
    <n v="6"/>
    <n v="9"/>
    <m/>
  </r>
  <r>
    <x v="1"/>
    <x v="30"/>
    <s v="S12000039"/>
    <n v="7"/>
    <n v="1"/>
    <n v="1"/>
    <n v="4"/>
    <n v="1"/>
  </r>
  <r>
    <x v="1"/>
    <x v="31"/>
    <s v="S12000040"/>
    <n v="11"/>
    <m/>
    <n v="2"/>
    <n v="8"/>
    <n v="1"/>
  </r>
  <r>
    <x v="2"/>
    <x v="0"/>
    <s v="S12000033"/>
    <n v="19"/>
    <n v="2"/>
    <n v="3"/>
    <n v="8"/>
    <n v="6"/>
  </r>
  <r>
    <x v="2"/>
    <x v="1"/>
    <s v="S12000034"/>
    <n v="37"/>
    <m/>
    <n v="5"/>
    <n v="31"/>
    <n v="1"/>
  </r>
  <r>
    <x v="2"/>
    <x v="2"/>
    <s v="S12000041"/>
    <n v="13"/>
    <m/>
    <n v="1"/>
    <n v="11"/>
    <n v="1"/>
  </r>
  <r>
    <x v="2"/>
    <x v="3"/>
    <s v="S12000035"/>
    <n v="51"/>
    <n v="1"/>
    <n v="25"/>
    <n v="25"/>
    <m/>
  </r>
  <r>
    <x v="2"/>
    <x v="4"/>
    <s v="S12000036"/>
    <n v="25"/>
    <n v="4"/>
    <n v="3"/>
    <n v="12"/>
    <n v="6"/>
  </r>
  <r>
    <x v="2"/>
    <x v="5"/>
    <s v="S12000005"/>
    <n v="5"/>
    <m/>
    <n v="2"/>
    <n v="3"/>
    <m/>
  </r>
  <r>
    <x v="2"/>
    <x v="6"/>
    <s v="S12000006"/>
    <n v="30"/>
    <n v="1"/>
    <n v="7"/>
    <n v="22"/>
    <m/>
  </r>
  <r>
    <x v="2"/>
    <x v="7"/>
    <s v="S12000042"/>
    <n v="20"/>
    <n v="2"/>
    <n v="3"/>
    <n v="7"/>
    <n v="8"/>
  </r>
  <r>
    <x v="2"/>
    <x v="8"/>
    <s v="S12000008"/>
    <n v="11"/>
    <n v="1"/>
    <m/>
    <n v="9"/>
    <n v="1"/>
  </r>
  <r>
    <x v="2"/>
    <x v="9"/>
    <s v="S12000045"/>
    <n v="5"/>
    <m/>
    <m/>
    <n v="3"/>
    <n v="2"/>
  </r>
  <r>
    <x v="2"/>
    <x v="10"/>
    <s v="S12000010"/>
    <n v="9"/>
    <m/>
    <m/>
    <n v="9"/>
    <m/>
  </r>
  <r>
    <x v="2"/>
    <x v="11"/>
    <s v="S12000011"/>
    <n v="2"/>
    <m/>
    <m/>
    <n v="2"/>
    <m/>
  </r>
  <r>
    <x v="2"/>
    <x v="12"/>
    <s v="S12000014"/>
    <n v="17"/>
    <n v="1"/>
    <n v="4"/>
    <n v="10"/>
    <n v="2"/>
  </r>
  <r>
    <x v="2"/>
    <x v="13"/>
    <s v="S12000047"/>
    <n v="31"/>
    <n v="2"/>
    <n v="6"/>
    <n v="21"/>
    <n v="2"/>
  </r>
  <r>
    <x v="2"/>
    <x v="14"/>
    <s v="S12000046"/>
    <n v="28"/>
    <n v="4"/>
    <n v="6"/>
    <n v="18"/>
    <m/>
  </r>
  <r>
    <x v="2"/>
    <x v="15"/>
    <s v="S12000017"/>
    <n v="88"/>
    <n v="1"/>
    <n v="15"/>
    <n v="68"/>
    <n v="4"/>
  </r>
  <r>
    <x v="2"/>
    <x v="16"/>
    <s v="S12000018"/>
    <n v="8"/>
    <n v="1"/>
    <m/>
    <n v="7"/>
    <m/>
  </r>
  <r>
    <x v="2"/>
    <x v="17"/>
    <s v="S12000019"/>
    <n v="3"/>
    <m/>
    <n v="1"/>
    <n v="2"/>
    <m/>
  </r>
  <r>
    <x v="2"/>
    <x v="18"/>
    <s v="S12000020"/>
    <n v="19"/>
    <m/>
    <n v="5"/>
    <n v="13"/>
    <n v="1"/>
  </r>
  <r>
    <x v="2"/>
    <x v="19"/>
    <s v="S12000013"/>
    <n v="18"/>
    <m/>
    <n v="1"/>
    <n v="17"/>
    <m/>
  </r>
  <r>
    <x v="2"/>
    <x v="20"/>
    <s v="S12000021"/>
    <n v="20"/>
    <m/>
    <n v="3"/>
    <n v="16"/>
    <n v="1"/>
  </r>
  <r>
    <x v="2"/>
    <x v="21"/>
    <s v="S12000044"/>
    <n v="15"/>
    <n v="2"/>
    <n v="3"/>
    <n v="8"/>
    <n v="2"/>
  </r>
  <r>
    <x v="2"/>
    <x v="22"/>
    <s v="S12000023"/>
    <n v="15"/>
    <m/>
    <n v="1"/>
    <n v="14"/>
    <m/>
  </r>
  <r>
    <x v="2"/>
    <x v="23"/>
    <s v="S12000024"/>
    <n v="23"/>
    <n v="1"/>
    <n v="4"/>
    <n v="16"/>
    <n v="2"/>
  </r>
  <r>
    <x v="2"/>
    <x v="24"/>
    <s v="S12000038"/>
    <n v="10"/>
    <n v="2"/>
    <n v="4"/>
    <n v="4"/>
    <m/>
  </r>
  <r>
    <x v="2"/>
    <x v="25"/>
    <s v="S12000026"/>
    <n v="20"/>
    <m/>
    <n v="3"/>
    <n v="17"/>
    <m/>
  </r>
  <r>
    <x v="2"/>
    <x v="26"/>
    <s v="S12000027"/>
    <n v="18"/>
    <m/>
    <n v="2"/>
    <n v="16"/>
    <m/>
  </r>
  <r>
    <x v="2"/>
    <x v="27"/>
    <s v="S12000028"/>
    <n v="9"/>
    <n v="1"/>
    <n v="1"/>
    <n v="7"/>
    <m/>
  </r>
  <r>
    <x v="2"/>
    <x v="28"/>
    <s v="S12000029"/>
    <n v="24"/>
    <n v="1"/>
    <n v="8"/>
    <n v="14"/>
    <n v="1"/>
  </r>
  <r>
    <x v="2"/>
    <x v="29"/>
    <s v="S12000030"/>
    <n v="15"/>
    <m/>
    <n v="6"/>
    <n v="9"/>
    <m/>
  </r>
  <r>
    <x v="2"/>
    <x v="30"/>
    <s v="S12000039"/>
    <n v="7"/>
    <n v="1"/>
    <n v="1"/>
    <n v="4"/>
    <n v="1"/>
  </r>
  <r>
    <x v="2"/>
    <x v="31"/>
    <s v="S12000040"/>
    <n v="12"/>
    <m/>
    <n v="3"/>
    <n v="8"/>
    <n v="1"/>
  </r>
</pivotCacheRecords>
</file>

<file path=xl/pivotCache/pivotCacheRecords19.xml><?xml version="1.0" encoding="utf-8"?>
<pivotCacheRecords xmlns="http://schemas.openxmlformats.org/spreadsheetml/2006/main" xmlns:r="http://schemas.openxmlformats.org/officeDocument/2006/relationships" count="96">
  <r>
    <x v="0"/>
    <x v="0"/>
    <s v="S12000033"/>
    <n v="15"/>
    <n v="1"/>
    <n v="1"/>
    <m/>
    <n v="8"/>
    <n v="5"/>
    <m/>
  </r>
  <r>
    <x v="0"/>
    <x v="1"/>
    <s v="S12000034"/>
    <n v="36"/>
    <m/>
    <n v="4"/>
    <m/>
    <n v="31"/>
    <n v="1"/>
    <m/>
  </r>
  <r>
    <x v="0"/>
    <x v="2"/>
    <s v="S12000041"/>
    <n v="12"/>
    <m/>
    <m/>
    <m/>
    <n v="11"/>
    <n v="1"/>
    <m/>
  </r>
  <r>
    <x v="0"/>
    <x v="3"/>
    <s v="S12000035"/>
    <n v="47"/>
    <n v="1"/>
    <n v="4"/>
    <m/>
    <n v="21"/>
    <m/>
    <n v="21"/>
  </r>
  <r>
    <x v="0"/>
    <x v="4"/>
    <s v="S12000036"/>
    <n v="25"/>
    <n v="5"/>
    <n v="2"/>
    <m/>
    <n v="12"/>
    <n v="6"/>
    <m/>
  </r>
  <r>
    <x v="0"/>
    <x v="5"/>
    <s v="S12000005"/>
    <n v="3"/>
    <m/>
    <m/>
    <n v="1"/>
    <n v="2"/>
    <m/>
    <m/>
  </r>
  <r>
    <x v="0"/>
    <x v="6"/>
    <s v="S12000006"/>
    <n v="29"/>
    <n v="1"/>
    <n v="5"/>
    <n v="3"/>
    <n v="20"/>
    <m/>
    <m/>
  </r>
  <r>
    <x v="0"/>
    <x v="7"/>
    <s v="S12000042"/>
    <n v="25"/>
    <n v="1"/>
    <n v="2"/>
    <m/>
    <n v="13"/>
    <n v="9"/>
    <m/>
  </r>
  <r>
    <x v="0"/>
    <x v="8"/>
    <s v="S12000008"/>
    <n v="11"/>
    <n v="1"/>
    <m/>
    <m/>
    <n v="9"/>
    <n v="1"/>
    <m/>
  </r>
  <r>
    <x v="0"/>
    <x v="9"/>
    <s v="S12000045"/>
    <n v="5"/>
    <m/>
    <m/>
    <m/>
    <n v="3"/>
    <n v="2"/>
    <m/>
  </r>
  <r>
    <x v="0"/>
    <x v="10"/>
    <s v="S12000010"/>
    <n v="7"/>
    <m/>
    <m/>
    <m/>
    <n v="7"/>
    <m/>
    <m/>
  </r>
  <r>
    <x v="0"/>
    <x v="11"/>
    <s v="S12000011"/>
    <n v="2"/>
    <m/>
    <m/>
    <m/>
    <n v="2"/>
    <m/>
    <m/>
  </r>
  <r>
    <x v="0"/>
    <x v="12"/>
    <s v="S12000014"/>
    <n v="14"/>
    <n v="1"/>
    <n v="4"/>
    <m/>
    <n v="7"/>
    <n v="2"/>
    <m/>
  </r>
  <r>
    <x v="0"/>
    <x v="13"/>
    <s v="S12000047"/>
    <n v="28"/>
    <n v="2"/>
    <n v="6"/>
    <n v="1"/>
    <n v="17"/>
    <n v="2"/>
    <m/>
  </r>
  <r>
    <x v="0"/>
    <x v="14"/>
    <s v="S12000046"/>
    <n v="27"/>
    <n v="3"/>
    <n v="3"/>
    <n v="3"/>
    <n v="18"/>
    <m/>
    <m/>
  </r>
  <r>
    <x v="0"/>
    <x v="15"/>
    <s v="S12000017"/>
    <n v="83"/>
    <n v="1"/>
    <n v="11"/>
    <n v="1"/>
    <n v="67"/>
    <n v="3"/>
    <m/>
  </r>
  <r>
    <x v="0"/>
    <x v="16"/>
    <s v="S12000018"/>
    <n v="8"/>
    <n v="1"/>
    <n v="1"/>
    <m/>
    <n v="6"/>
    <m/>
    <m/>
  </r>
  <r>
    <x v="0"/>
    <x v="17"/>
    <s v="S12000019"/>
    <n v="5"/>
    <m/>
    <n v="2"/>
    <m/>
    <n v="3"/>
    <m/>
    <m/>
  </r>
  <r>
    <x v="0"/>
    <x v="18"/>
    <s v="S12000020"/>
    <n v="19"/>
    <m/>
    <n v="4"/>
    <m/>
    <n v="13"/>
    <m/>
    <n v="2"/>
  </r>
  <r>
    <x v="0"/>
    <x v="19"/>
    <s v="S12000013"/>
    <n v="17"/>
    <m/>
    <m/>
    <m/>
    <n v="16"/>
    <m/>
    <n v="1"/>
  </r>
  <r>
    <x v="0"/>
    <x v="20"/>
    <s v="S12000021"/>
    <n v="20"/>
    <m/>
    <n v="2"/>
    <m/>
    <n v="14"/>
    <n v="1"/>
    <n v="3"/>
  </r>
  <r>
    <x v="0"/>
    <x v="21"/>
    <s v="S12000044"/>
    <n v="16"/>
    <n v="2"/>
    <n v="2"/>
    <n v="1"/>
    <n v="8"/>
    <n v="3"/>
    <m/>
  </r>
  <r>
    <x v="0"/>
    <x v="22"/>
    <s v="S12000023"/>
    <n v="15"/>
    <m/>
    <m/>
    <m/>
    <n v="14"/>
    <m/>
    <n v="1"/>
  </r>
  <r>
    <x v="0"/>
    <x v="23"/>
    <s v="S12000024"/>
    <n v="24"/>
    <n v="1"/>
    <n v="1"/>
    <n v="1"/>
    <n v="16"/>
    <n v="2"/>
    <n v="3"/>
  </r>
  <r>
    <x v="0"/>
    <x v="24"/>
    <s v="S12000038"/>
    <n v="8"/>
    <n v="2"/>
    <n v="2"/>
    <m/>
    <n v="4"/>
    <m/>
    <m/>
  </r>
  <r>
    <x v="0"/>
    <x v="25"/>
    <s v="S12000026"/>
    <n v="21"/>
    <m/>
    <n v="2"/>
    <n v="1"/>
    <n v="16"/>
    <n v="2"/>
    <m/>
  </r>
  <r>
    <x v="0"/>
    <x v="26"/>
    <s v="S12000027"/>
    <n v="17"/>
    <m/>
    <m/>
    <m/>
    <n v="16"/>
    <m/>
    <n v="1"/>
  </r>
  <r>
    <x v="0"/>
    <x v="27"/>
    <s v="S12000028"/>
    <n v="9"/>
    <n v="1"/>
    <m/>
    <n v="1"/>
    <n v="7"/>
    <m/>
    <m/>
  </r>
  <r>
    <x v="0"/>
    <x v="28"/>
    <s v="S12000029"/>
    <n v="23"/>
    <n v="1"/>
    <n v="5"/>
    <n v="2"/>
    <n v="14"/>
    <n v="1"/>
    <m/>
  </r>
  <r>
    <x v="0"/>
    <x v="29"/>
    <s v="S12000030"/>
    <n v="16"/>
    <m/>
    <n v="3"/>
    <n v="1"/>
    <n v="10"/>
    <m/>
    <n v="2"/>
  </r>
  <r>
    <x v="0"/>
    <x v="30"/>
    <s v="S12000039"/>
    <n v="7"/>
    <n v="1"/>
    <n v="1"/>
    <m/>
    <n v="4"/>
    <n v="1"/>
    <m/>
  </r>
  <r>
    <x v="0"/>
    <x v="31"/>
    <s v="S12000040"/>
    <n v="12"/>
    <m/>
    <n v="1"/>
    <n v="1"/>
    <n v="9"/>
    <n v="1"/>
    <m/>
  </r>
  <r>
    <x v="1"/>
    <x v="0"/>
    <s v="S12000033"/>
    <n v="18"/>
    <n v="1"/>
    <n v="3"/>
    <m/>
    <n v="8"/>
    <n v="6"/>
    <m/>
  </r>
  <r>
    <x v="1"/>
    <x v="1"/>
    <s v="S12000034"/>
    <n v="37"/>
    <m/>
    <n v="5"/>
    <m/>
    <n v="31"/>
    <n v="1"/>
    <m/>
  </r>
  <r>
    <x v="1"/>
    <x v="2"/>
    <s v="S12000041"/>
    <n v="12"/>
    <m/>
    <m/>
    <m/>
    <n v="11"/>
    <n v="1"/>
    <m/>
  </r>
  <r>
    <x v="1"/>
    <x v="3"/>
    <s v="S12000035"/>
    <n v="48"/>
    <n v="1"/>
    <n v="4"/>
    <n v="1"/>
    <n v="21"/>
    <m/>
    <n v="21"/>
  </r>
  <r>
    <x v="1"/>
    <x v="4"/>
    <s v="S12000036"/>
    <n v="21"/>
    <n v="3"/>
    <n v="1"/>
    <m/>
    <n v="12"/>
    <n v="5"/>
    <m/>
  </r>
  <r>
    <x v="1"/>
    <x v="5"/>
    <s v="S12000005"/>
    <n v="5"/>
    <m/>
    <n v="1"/>
    <n v="1"/>
    <n v="3"/>
    <m/>
    <m/>
  </r>
  <r>
    <x v="1"/>
    <x v="6"/>
    <s v="S12000006"/>
    <n v="29"/>
    <n v="1"/>
    <n v="3"/>
    <n v="4"/>
    <n v="20"/>
    <m/>
    <n v="1"/>
  </r>
  <r>
    <x v="1"/>
    <x v="7"/>
    <s v="S12000042"/>
    <n v="22"/>
    <n v="1"/>
    <n v="2"/>
    <n v="1"/>
    <n v="8"/>
    <n v="10"/>
    <m/>
  </r>
  <r>
    <x v="1"/>
    <x v="8"/>
    <s v="S12000008"/>
    <n v="11"/>
    <n v="1"/>
    <m/>
    <m/>
    <n v="9"/>
    <n v="1"/>
    <m/>
  </r>
  <r>
    <x v="1"/>
    <x v="9"/>
    <s v="S12000045"/>
    <n v="5"/>
    <m/>
    <m/>
    <m/>
    <n v="3"/>
    <n v="2"/>
    <m/>
  </r>
  <r>
    <x v="1"/>
    <x v="10"/>
    <s v="S12000010"/>
    <n v="8"/>
    <m/>
    <m/>
    <m/>
    <n v="8"/>
    <m/>
    <m/>
  </r>
  <r>
    <x v="1"/>
    <x v="11"/>
    <s v="S12000011"/>
    <n v="2"/>
    <m/>
    <m/>
    <m/>
    <n v="2"/>
    <m/>
    <m/>
  </r>
  <r>
    <x v="1"/>
    <x v="12"/>
    <s v="S12000014"/>
    <n v="16"/>
    <n v="1"/>
    <n v="4"/>
    <m/>
    <n v="9"/>
    <n v="2"/>
    <m/>
  </r>
  <r>
    <x v="1"/>
    <x v="13"/>
    <s v="S12000047"/>
    <n v="30"/>
    <n v="2"/>
    <n v="5"/>
    <n v="1"/>
    <n v="20"/>
    <n v="2"/>
    <m/>
  </r>
  <r>
    <x v="1"/>
    <x v="14"/>
    <s v="S12000046"/>
    <n v="28"/>
    <n v="4"/>
    <n v="3"/>
    <n v="3"/>
    <n v="18"/>
    <m/>
    <m/>
  </r>
  <r>
    <x v="1"/>
    <x v="15"/>
    <s v="S12000017"/>
    <n v="80"/>
    <n v="1"/>
    <n v="4"/>
    <n v="1"/>
    <n v="64"/>
    <n v="3"/>
    <n v="7"/>
  </r>
  <r>
    <x v="1"/>
    <x v="16"/>
    <s v="S12000018"/>
    <n v="7"/>
    <n v="1"/>
    <m/>
    <m/>
    <n v="6"/>
    <m/>
    <m/>
  </r>
  <r>
    <x v="1"/>
    <x v="17"/>
    <s v="S12000019"/>
    <n v="3"/>
    <m/>
    <n v="1"/>
    <m/>
    <n v="2"/>
    <m/>
    <m/>
  </r>
  <r>
    <x v="1"/>
    <x v="18"/>
    <s v="S12000020"/>
    <n v="19"/>
    <m/>
    <n v="3"/>
    <m/>
    <n v="13"/>
    <n v="1"/>
    <n v="2"/>
  </r>
  <r>
    <x v="1"/>
    <x v="19"/>
    <s v="S12000013"/>
    <n v="17"/>
    <m/>
    <m/>
    <m/>
    <n v="16"/>
    <m/>
    <n v="1"/>
  </r>
  <r>
    <x v="1"/>
    <x v="20"/>
    <s v="S12000021"/>
    <n v="20"/>
    <m/>
    <n v="2"/>
    <m/>
    <n v="15"/>
    <n v="1"/>
    <n v="2"/>
  </r>
  <r>
    <x v="1"/>
    <x v="21"/>
    <s v="S12000044"/>
    <n v="18"/>
    <n v="2"/>
    <n v="3"/>
    <n v="1"/>
    <n v="8"/>
    <n v="4"/>
    <m/>
  </r>
  <r>
    <x v="1"/>
    <x v="22"/>
    <s v="S12000023"/>
    <n v="16"/>
    <m/>
    <m/>
    <m/>
    <n v="15"/>
    <m/>
    <n v="1"/>
  </r>
  <r>
    <x v="1"/>
    <x v="23"/>
    <s v="S12000024"/>
    <n v="22"/>
    <n v="1"/>
    <m/>
    <n v="1"/>
    <n v="16"/>
    <n v="1"/>
    <n v="3"/>
  </r>
  <r>
    <x v="1"/>
    <x v="24"/>
    <s v="S12000038"/>
    <n v="9"/>
    <n v="2"/>
    <n v="3"/>
    <m/>
    <n v="4"/>
    <m/>
    <m/>
  </r>
  <r>
    <x v="1"/>
    <x v="25"/>
    <s v="S12000026"/>
    <n v="19"/>
    <m/>
    <n v="1"/>
    <n v="1"/>
    <n v="17"/>
    <m/>
    <m/>
  </r>
  <r>
    <x v="1"/>
    <x v="26"/>
    <s v="S12000027"/>
    <n v="18"/>
    <m/>
    <n v="1"/>
    <m/>
    <n v="16"/>
    <m/>
    <n v="1"/>
  </r>
  <r>
    <x v="1"/>
    <x v="27"/>
    <s v="S12000028"/>
    <n v="9"/>
    <n v="1"/>
    <m/>
    <n v="1"/>
    <n v="7"/>
    <m/>
    <m/>
  </r>
  <r>
    <x v="1"/>
    <x v="28"/>
    <s v="S12000029"/>
    <n v="23"/>
    <n v="1"/>
    <n v="5"/>
    <n v="2"/>
    <n v="14"/>
    <n v="1"/>
    <m/>
  </r>
  <r>
    <x v="1"/>
    <x v="29"/>
    <s v="S12000030"/>
    <n v="15"/>
    <m/>
    <n v="3"/>
    <n v="1"/>
    <n v="9"/>
    <m/>
    <n v="2"/>
  </r>
  <r>
    <x v="1"/>
    <x v="30"/>
    <s v="S12000039"/>
    <n v="7"/>
    <n v="1"/>
    <n v="1"/>
    <m/>
    <n v="4"/>
    <n v="1"/>
    <m/>
  </r>
  <r>
    <x v="1"/>
    <x v="31"/>
    <s v="S12000040"/>
    <n v="11"/>
    <m/>
    <n v="1"/>
    <n v="1"/>
    <n v="8"/>
    <n v="1"/>
    <m/>
  </r>
  <r>
    <x v="2"/>
    <x v="0"/>
    <s v="S12000033"/>
    <n v="19"/>
    <n v="2"/>
    <n v="2"/>
    <n v="1"/>
    <n v="8"/>
    <n v="6"/>
    <m/>
  </r>
  <r>
    <x v="2"/>
    <x v="1"/>
    <s v="S12000034"/>
    <n v="37"/>
    <m/>
    <n v="5"/>
    <m/>
    <n v="31"/>
    <n v="1"/>
    <m/>
  </r>
  <r>
    <x v="2"/>
    <x v="2"/>
    <s v="S12000041"/>
    <n v="13"/>
    <m/>
    <n v="1"/>
    <m/>
    <n v="11"/>
    <n v="1"/>
    <m/>
  </r>
  <r>
    <x v="2"/>
    <x v="3"/>
    <s v="S12000035"/>
    <n v="51"/>
    <n v="1"/>
    <n v="4"/>
    <n v="1"/>
    <n v="25"/>
    <m/>
    <n v="20"/>
  </r>
  <r>
    <x v="2"/>
    <x v="4"/>
    <s v="S12000036"/>
    <n v="25"/>
    <n v="4"/>
    <n v="1"/>
    <n v="2"/>
    <n v="12"/>
    <n v="6"/>
    <m/>
  </r>
  <r>
    <x v="2"/>
    <x v="5"/>
    <s v="S12000005"/>
    <n v="5"/>
    <m/>
    <n v="1"/>
    <n v="1"/>
    <n v="3"/>
    <m/>
    <m/>
  </r>
  <r>
    <x v="2"/>
    <x v="6"/>
    <s v="S12000006"/>
    <n v="30"/>
    <n v="1"/>
    <n v="4"/>
    <n v="3"/>
    <n v="22"/>
    <m/>
    <m/>
  </r>
  <r>
    <x v="2"/>
    <x v="7"/>
    <s v="S12000042"/>
    <n v="20"/>
    <n v="2"/>
    <n v="2"/>
    <n v="1"/>
    <n v="7"/>
    <n v="8"/>
    <m/>
  </r>
  <r>
    <x v="2"/>
    <x v="8"/>
    <s v="S12000008"/>
    <n v="11"/>
    <n v="1"/>
    <m/>
    <m/>
    <n v="9"/>
    <n v="1"/>
    <m/>
  </r>
  <r>
    <x v="2"/>
    <x v="9"/>
    <s v="S12000045"/>
    <n v="5"/>
    <m/>
    <m/>
    <m/>
    <n v="3"/>
    <n v="2"/>
    <m/>
  </r>
  <r>
    <x v="2"/>
    <x v="10"/>
    <s v="S12000010"/>
    <n v="9"/>
    <m/>
    <m/>
    <m/>
    <n v="9"/>
    <m/>
    <m/>
  </r>
  <r>
    <x v="2"/>
    <x v="11"/>
    <s v="S12000011"/>
    <n v="2"/>
    <m/>
    <m/>
    <m/>
    <n v="2"/>
    <m/>
    <m/>
  </r>
  <r>
    <x v="2"/>
    <x v="12"/>
    <s v="S12000014"/>
    <n v="17"/>
    <n v="1"/>
    <n v="4"/>
    <m/>
    <n v="10"/>
    <n v="2"/>
    <m/>
  </r>
  <r>
    <x v="2"/>
    <x v="13"/>
    <s v="S12000047"/>
    <n v="31"/>
    <n v="2"/>
    <n v="5"/>
    <n v="1"/>
    <n v="21"/>
    <n v="2"/>
    <m/>
  </r>
  <r>
    <x v="2"/>
    <x v="14"/>
    <s v="S12000046"/>
    <n v="28"/>
    <n v="4"/>
    <n v="3"/>
    <n v="3"/>
    <n v="18"/>
    <m/>
    <m/>
  </r>
  <r>
    <x v="2"/>
    <x v="15"/>
    <s v="S12000017"/>
    <n v="88"/>
    <n v="1"/>
    <n v="5"/>
    <n v="2"/>
    <n v="68"/>
    <n v="4"/>
    <n v="8"/>
  </r>
  <r>
    <x v="2"/>
    <x v="16"/>
    <s v="S12000018"/>
    <n v="8"/>
    <n v="1"/>
    <m/>
    <m/>
    <n v="7"/>
    <m/>
    <m/>
  </r>
  <r>
    <x v="2"/>
    <x v="17"/>
    <s v="S12000019"/>
    <n v="3"/>
    <m/>
    <n v="1"/>
    <m/>
    <n v="2"/>
    <m/>
    <m/>
  </r>
  <r>
    <x v="2"/>
    <x v="18"/>
    <s v="S12000020"/>
    <n v="19"/>
    <m/>
    <n v="3"/>
    <m/>
    <n v="13"/>
    <n v="1"/>
    <n v="2"/>
  </r>
  <r>
    <x v="2"/>
    <x v="19"/>
    <s v="S12000013"/>
    <n v="18"/>
    <m/>
    <m/>
    <m/>
    <n v="17"/>
    <m/>
    <n v="1"/>
  </r>
  <r>
    <x v="2"/>
    <x v="20"/>
    <s v="S12000021"/>
    <n v="20"/>
    <m/>
    <n v="2"/>
    <m/>
    <n v="16"/>
    <n v="1"/>
    <n v="1"/>
  </r>
  <r>
    <x v="2"/>
    <x v="21"/>
    <s v="S12000044"/>
    <n v="15"/>
    <n v="2"/>
    <n v="2"/>
    <n v="1"/>
    <n v="8"/>
    <n v="2"/>
    <m/>
  </r>
  <r>
    <x v="2"/>
    <x v="22"/>
    <s v="S12000023"/>
    <n v="15"/>
    <m/>
    <m/>
    <m/>
    <n v="14"/>
    <m/>
    <n v="1"/>
  </r>
  <r>
    <x v="2"/>
    <x v="23"/>
    <s v="S12000024"/>
    <n v="23"/>
    <n v="1"/>
    <m/>
    <n v="1"/>
    <n v="16"/>
    <n v="2"/>
    <n v="3"/>
  </r>
  <r>
    <x v="2"/>
    <x v="24"/>
    <s v="S12000038"/>
    <n v="10"/>
    <n v="2"/>
    <n v="4"/>
    <m/>
    <n v="4"/>
    <m/>
    <m/>
  </r>
  <r>
    <x v="2"/>
    <x v="25"/>
    <s v="S12000026"/>
    <n v="20"/>
    <m/>
    <n v="1"/>
    <n v="2"/>
    <n v="17"/>
    <m/>
    <m/>
  </r>
  <r>
    <x v="2"/>
    <x v="26"/>
    <s v="S12000027"/>
    <n v="18"/>
    <m/>
    <n v="1"/>
    <m/>
    <n v="16"/>
    <m/>
    <n v="1"/>
  </r>
  <r>
    <x v="2"/>
    <x v="27"/>
    <s v="S12000028"/>
    <n v="9"/>
    <n v="1"/>
    <m/>
    <n v="1"/>
    <n v="7"/>
    <m/>
    <m/>
  </r>
  <r>
    <x v="2"/>
    <x v="28"/>
    <s v="S12000029"/>
    <n v="24"/>
    <n v="1"/>
    <n v="6"/>
    <n v="2"/>
    <n v="14"/>
    <n v="1"/>
    <m/>
  </r>
  <r>
    <x v="2"/>
    <x v="29"/>
    <s v="S12000030"/>
    <n v="15"/>
    <m/>
    <n v="3"/>
    <n v="1"/>
    <n v="9"/>
    <m/>
    <n v="2"/>
  </r>
  <r>
    <x v="2"/>
    <x v="30"/>
    <s v="S12000039"/>
    <n v="7"/>
    <n v="1"/>
    <n v="1"/>
    <m/>
    <n v="4"/>
    <n v="1"/>
    <m/>
  </r>
  <r>
    <x v="2"/>
    <x v="31"/>
    <s v="S12000040"/>
    <n v="12"/>
    <m/>
    <n v="1"/>
    <n v="2"/>
    <n v="8"/>
    <n v="1"/>
    <m/>
  </r>
</pivotCacheRecords>
</file>

<file path=xl/pivotCache/pivotCacheRecords2.xml><?xml version="1.0" encoding="utf-8"?>
<pivotCacheRecords xmlns="http://schemas.openxmlformats.org/spreadsheetml/2006/main" xmlns:r="http://schemas.openxmlformats.org/officeDocument/2006/relationships" count="140">
  <r>
    <x v="0"/>
    <x v="0"/>
    <s v="S12000005"/>
    <x v="0"/>
    <n v="0"/>
    <n v="0"/>
    <n v="0"/>
    <n v="0"/>
  </r>
  <r>
    <x v="0"/>
    <x v="0"/>
    <s v="S12000006"/>
    <x v="1"/>
    <n v="4"/>
    <n v="0"/>
    <n v="1"/>
    <n v="3"/>
  </r>
  <r>
    <x v="0"/>
    <x v="0"/>
    <s v="S12000008"/>
    <x v="2"/>
    <n v="0"/>
    <n v="0"/>
    <n v="0"/>
    <n v="0"/>
  </r>
  <r>
    <x v="0"/>
    <x v="0"/>
    <s v="S12000010"/>
    <x v="3"/>
    <n v="0"/>
    <n v="0"/>
    <n v="0"/>
    <n v="0"/>
  </r>
  <r>
    <x v="0"/>
    <x v="0"/>
    <s v="S12000011"/>
    <x v="4"/>
    <n v="0"/>
    <n v="0"/>
    <n v="0"/>
    <n v="0"/>
  </r>
  <r>
    <x v="0"/>
    <x v="0"/>
    <s v="S12000013"/>
    <x v="5"/>
    <n v="0"/>
    <n v="0"/>
    <n v="0"/>
    <n v="0"/>
  </r>
  <r>
    <x v="0"/>
    <x v="0"/>
    <s v="S12000014"/>
    <x v="6"/>
    <n v="0"/>
    <n v="0"/>
    <n v="0"/>
    <n v="0"/>
  </r>
  <r>
    <x v="0"/>
    <x v="0"/>
    <s v="S12000017"/>
    <x v="7"/>
    <n v="72"/>
    <n v="8"/>
    <n v="13"/>
    <n v="51"/>
  </r>
  <r>
    <x v="0"/>
    <x v="0"/>
    <s v="S12000018"/>
    <x v="8"/>
    <n v="0"/>
    <n v="0"/>
    <n v="0"/>
    <n v="0"/>
  </r>
  <r>
    <x v="0"/>
    <x v="0"/>
    <s v="S12000019"/>
    <x v="9"/>
    <n v="0"/>
    <n v="0"/>
    <n v="0"/>
    <n v="0"/>
  </r>
  <r>
    <x v="0"/>
    <x v="0"/>
    <s v="S12000020"/>
    <x v="10"/>
    <n v="32"/>
    <n v="1"/>
    <n v="2"/>
    <n v="29"/>
  </r>
  <r>
    <x v="0"/>
    <x v="0"/>
    <s v="S12000021"/>
    <x v="11"/>
    <n v="21"/>
    <n v="0"/>
    <n v="6"/>
    <n v="15"/>
  </r>
  <r>
    <x v="0"/>
    <x v="0"/>
    <s v="S12000023"/>
    <x v="12"/>
    <n v="0"/>
    <n v="0"/>
    <n v="0"/>
    <n v="0"/>
  </r>
  <r>
    <x v="0"/>
    <x v="0"/>
    <s v="S12000024"/>
    <x v="13"/>
    <n v="25"/>
    <n v="0"/>
    <n v="3"/>
    <n v="22"/>
  </r>
  <r>
    <x v="0"/>
    <x v="0"/>
    <s v="S12000026"/>
    <x v="14"/>
    <n v="0"/>
    <n v="0"/>
    <n v="0"/>
    <n v="0"/>
  </r>
  <r>
    <x v="0"/>
    <x v="0"/>
    <s v="S12000027"/>
    <x v="15"/>
    <n v="0"/>
    <n v="0"/>
    <n v="0"/>
    <n v="0"/>
  </r>
  <r>
    <x v="0"/>
    <x v="0"/>
    <s v="S12000028"/>
    <x v="16"/>
    <n v="0"/>
    <n v="0"/>
    <n v="0"/>
    <n v="0"/>
  </r>
  <r>
    <x v="0"/>
    <x v="0"/>
    <s v="S12000029"/>
    <x v="17"/>
    <n v="2"/>
    <n v="0"/>
    <n v="1"/>
    <n v="1"/>
  </r>
  <r>
    <x v="0"/>
    <x v="0"/>
    <s v="S12000030"/>
    <x v="18"/>
    <n v="0"/>
    <n v="0"/>
    <n v="0"/>
    <n v="0"/>
  </r>
  <r>
    <x v="0"/>
    <x v="0"/>
    <s v="S12000033"/>
    <x v="19"/>
    <n v="0"/>
    <n v="0"/>
    <n v="0"/>
    <n v="0"/>
  </r>
  <r>
    <x v="0"/>
    <x v="0"/>
    <s v="S12000034"/>
    <x v="20"/>
    <n v="0"/>
    <n v="0"/>
    <n v="0"/>
    <n v="0"/>
  </r>
  <r>
    <x v="0"/>
    <x v="0"/>
    <s v="S12000035"/>
    <x v="21"/>
    <n v="203"/>
    <n v="0"/>
    <n v="47"/>
    <n v="156"/>
  </r>
  <r>
    <x v="0"/>
    <x v="0"/>
    <s v="S12000036"/>
    <x v="22"/>
    <n v="0"/>
    <n v="0"/>
    <n v="0"/>
    <n v="0"/>
  </r>
  <r>
    <x v="0"/>
    <x v="0"/>
    <s v="S12000038"/>
    <x v="23"/>
    <n v="0"/>
    <n v="0"/>
    <n v="0"/>
    <n v="0"/>
  </r>
  <r>
    <x v="0"/>
    <x v="0"/>
    <s v="S12000039"/>
    <x v="24"/>
    <n v="0"/>
    <n v="0"/>
    <n v="0"/>
    <n v="0"/>
  </r>
  <r>
    <x v="0"/>
    <x v="0"/>
    <s v="S12000040"/>
    <x v="25"/>
    <n v="0"/>
    <n v="0"/>
    <n v="0"/>
    <n v="0"/>
  </r>
  <r>
    <x v="0"/>
    <x v="0"/>
    <s v="S12000041"/>
    <x v="26"/>
    <n v="0"/>
    <n v="0"/>
    <n v="0"/>
    <n v="0"/>
  </r>
  <r>
    <x v="0"/>
    <x v="0"/>
    <s v="S12000042"/>
    <x v="27"/>
    <n v="0"/>
    <n v="0"/>
    <n v="0"/>
    <n v="0"/>
  </r>
  <r>
    <x v="0"/>
    <x v="0"/>
    <s v="S12000044"/>
    <x v="28"/>
    <n v="0"/>
    <n v="0"/>
    <n v="0"/>
    <n v="0"/>
  </r>
  <r>
    <x v="0"/>
    <x v="0"/>
    <s v="S12000045"/>
    <x v="29"/>
    <n v="0"/>
    <n v="0"/>
    <n v="0"/>
    <n v="0"/>
  </r>
  <r>
    <x v="0"/>
    <x v="0"/>
    <s v="S12000046"/>
    <x v="30"/>
    <n v="0"/>
    <n v="0"/>
    <n v="0"/>
    <n v="0"/>
  </r>
  <r>
    <x v="0"/>
    <x v="0"/>
    <s v="S12000047"/>
    <x v="31"/>
    <n v="0"/>
    <n v="0"/>
    <n v="0"/>
    <n v="0"/>
  </r>
  <r>
    <x v="1"/>
    <x v="0"/>
    <s v="S12000005"/>
    <x v="0"/>
    <n v="0"/>
    <n v="0"/>
    <n v="0"/>
    <n v="0"/>
  </r>
  <r>
    <x v="1"/>
    <x v="0"/>
    <s v="S12000006"/>
    <x v="1"/>
    <n v="3"/>
    <n v="0"/>
    <n v="1"/>
    <n v="2"/>
  </r>
  <r>
    <x v="1"/>
    <x v="0"/>
    <s v="S12000008"/>
    <x v="2"/>
    <n v="0"/>
    <n v="0"/>
    <n v="0"/>
    <n v="0"/>
  </r>
  <r>
    <x v="1"/>
    <x v="0"/>
    <s v="S12000010"/>
    <x v="3"/>
    <n v="0"/>
    <n v="0"/>
    <n v="0"/>
    <n v="0"/>
  </r>
  <r>
    <x v="1"/>
    <x v="0"/>
    <s v="S12000011"/>
    <x v="4"/>
    <n v="0"/>
    <n v="0"/>
    <n v="0"/>
    <n v="0"/>
  </r>
  <r>
    <x v="1"/>
    <x v="0"/>
    <s v="S12000013"/>
    <x v="5"/>
    <n v="0"/>
    <n v="0"/>
    <n v="0"/>
    <n v="0"/>
  </r>
  <r>
    <x v="1"/>
    <x v="0"/>
    <s v="S12000014"/>
    <x v="6"/>
    <n v="0"/>
    <n v="0"/>
    <n v="0"/>
    <n v="0"/>
  </r>
  <r>
    <x v="1"/>
    <x v="0"/>
    <s v="S12000017"/>
    <x v="7"/>
    <n v="69"/>
    <n v="8"/>
    <n v="12"/>
    <n v="49"/>
  </r>
  <r>
    <x v="1"/>
    <x v="0"/>
    <s v="S12000018"/>
    <x v="8"/>
    <n v="0"/>
    <n v="0"/>
    <n v="0"/>
    <n v="0"/>
  </r>
  <r>
    <x v="1"/>
    <x v="0"/>
    <s v="S12000019"/>
    <x v="9"/>
    <n v="0"/>
    <n v="0"/>
    <n v="0"/>
    <n v="0"/>
  </r>
  <r>
    <x v="1"/>
    <x v="0"/>
    <s v="S12000020"/>
    <x v="10"/>
    <n v="25"/>
    <n v="1"/>
    <n v="2"/>
    <n v="22"/>
  </r>
  <r>
    <x v="1"/>
    <x v="0"/>
    <s v="S12000021"/>
    <x v="11"/>
    <n v="26"/>
    <n v="3"/>
    <n v="3"/>
    <n v="20"/>
  </r>
  <r>
    <x v="1"/>
    <x v="0"/>
    <s v="S12000023"/>
    <x v="12"/>
    <n v="1"/>
    <n v="0"/>
    <n v="1"/>
    <n v="0"/>
  </r>
  <r>
    <x v="1"/>
    <x v="0"/>
    <s v="S12000024"/>
    <x v="13"/>
    <n v="24"/>
    <n v="0"/>
    <n v="5"/>
    <n v="19"/>
  </r>
  <r>
    <x v="1"/>
    <x v="0"/>
    <s v="S12000026"/>
    <x v="14"/>
    <n v="0"/>
    <n v="0"/>
    <n v="0"/>
    <n v="0"/>
  </r>
  <r>
    <x v="1"/>
    <x v="0"/>
    <s v="S12000027"/>
    <x v="15"/>
    <n v="1"/>
    <n v="0"/>
    <n v="0"/>
    <n v="1"/>
  </r>
  <r>
    <x v="1"/>
    <x v="0"/>
    <s v="S12000028"/>
    <x v="16"/>
    <n v="0"/>
    <n v="0"/>
    <n v="0"/>
    <n v="0"/>
  </r>
  <r>
    <x v="1"/>
    <x v="0"/>
    <s v="S12000029"/>
    <x v="17"/>
    <n v="4"/>
    <n v="1"/>
    <m/>
    <n v="3"/>
  </r>
  <r>
    <x v="1"/>
    <x v="0"/>
    <s v="S12000030"/>
    <x v="18"/>
    <n v="0"/>
    <n v="0"/>
    <n v="0"/>
    <n v="0"/>
  </r>
  <r>
    <x v="1"/>
    <x v="0"/>
    <s v="S12000033"/>
    <x v="19"/>
    <n v="0"/>
    <n v="0"/>
    <n v="0"/>
    <n v="0"/>
  </r>
  <r>
    <x v="1"/>
    <x v="0"/>
    <s v="S12000034"/>
    <x v="20"/>
    <n v="0"/>
    <n v="0"/>
    <n v="0"/>
    <n v="0"/>
  </r>
  <r>
    <x v="1"/>
    <x v="0"/>
    <s v="S12000035"/>
    <x v="21"/>
    <n v="225"/>
    <n v="25"/>
    <n v="20"/>
    <n v="180"/>
  </r>
  <r>
    <x v="1"/>
    <x v="0"/>
    <s v="S12000036"/>
    <x v="22"/>
    <n v="0"/>
    <n v="0"/>
    <n v="0"/>
    <n v="0"/>
  </r>
  <r>
    <x v="1"/>
    <x v="0"/>
    <s v="S12000038"/>
    <x v="23"/>
    <n v="0"/>
    <n v="0"/>
    <n v="0"/>
    <n v="0"/>
  </r>
  <r>
    <x v="1"/>
    <x v="0"/>
    <s v="S12000039"/>
    <x v="24"/>
    <n v="0"/>
    <n v="0"/>
    <n v="0"/>
    <n v="0"/>
  </r>
  <r>
    <x v="1"/>
    <x v="0"/>
    <s v="S12000040"/>
    <x v="25"/>
    <n v="0"/>
    <n v="0"/>
    <n v="0"/>
    <n v="0"/>
  </r>
  <r>
    <x v="1"/>
    <x v="0"/>
    <s v="S12000041"/>
    <x v="26"/>
    <n v="0"/>
    <n v="0"/>
    <n v="0"/>
    <n v="0"/>
  </r>
  <r>
    <x v="1"/>
    <x v="0"/>
    <s v="S12000042"/>
    <x v="27"/>
    <n v="0"/>
    <n v="0"/>
    <n v="0"/>
    <n v="0"/>
  </r>
  <r>
    <x v="1"/>
    <x v="0"/>
    <s v="S12000044"/>
    <x v="28"/>
    <n v="0"/>
    <n v="0"/>
    <n v="0"/>
    <n v="0"/>
  </r>
  <r>
    <x v="1"/>
    <x v="0"/>
    <s v="S12000045"/>
    <x v="29"/>
    <n v="0"/>
    <n v="0"/>
    <n v="0"/>
    <n v="0"/>
  </r>
  <r>
    <x v="1"/>
    <x v="0"/>
    <s v="S12000046"/>
    <x v="30"/>
    <n v="0"/>
    <n v="0"/>
    <n v="0"/>
    <n v="0"/>
  </r>
  <r>
    <x v="1"/>
    <x v="0"/>
    <s v="S12000047"/>
    <x v="31"/>
    <n v="0"/>
    <n v="0"/>
    <n v="0"/>
    <n v="0"/>
  </r>
  <r>
    <x v="2"/>
    <x v="0"/>
    <s v="S12000005"/>
    <x v="0"/>
    <n v="0"/>
    <n v="0"/>
    <n v="0"/>
    <n v="0"/>
  </r>
  <r>
    <x v="2"/>
    <x v="0"/>
    <s v="S12000006"/>
    <x v="1"/>
    <n v="5"/>
    <n v="1"/>
    <n v="1"/>
    <n v="3"/>
  </r>
  <r>
    <x v="2"/>
    <x v="0"/>
    <s v="S12000008"/>
    <x v="2"/>
    <n v="0"/>
    <n v="0"/>
    <n v="0"/>
    <n v="0"/>
  </r>
  <r>
    <x v="2"/>
    <x v="0"/>
    <s v="S12000010"/>
    <x v="3"/>
    <n v="0"/>
    <n v="0"/>
    <n v="0"/>
    <n v="0"/>
  </r>
  <r>
    <x v="2"/>
    <x v="0"/>
    <s v="S12000011"/>
    <x v="4"/>
    <n v="0"/>
    <n v="0"/>
    <n v="0"/>
    <n v="0"/>
  </r>
  <r>
    <x v="2"/>
    <x v="0"/>
    <s v="S12000013"/>
    <x v="5"/>
    <n v="0"/>
    <n v="0"/>
    <n v="0"/>
    <n v="0"/>
  </r>
  <r>
    <x v="2"/>
    <x v="0"/>
    <s v="S12000014"/>
    <x v="6"/>
    <n v="0"/>
    <n v="0"/>
    <n v="0"/>
    <n v="0"/>
  </r>
  <r>
    <x v="2"/>
    <x v="0"/>
    <s v="S12000017"/>
    <x v="7"/>
    <n v="68"/>
    <n v="8"/>
    <n v="14"/>
    <n v="46"/>
  </r>
  <r>
    <x v="2"/>
    <x v="0"/>
    <s v="S12000018"/>
    <x v="8"/>
    <n v="0"/>
    <n v="0"/>
    <n v="0"/>
    <n v="0"/>
  </r>
  <r>
    <x v="2"/>
    <x v="0"/>
    <s v="S12000019"/>
    <x v="9"/>
    <n v="0"/>
    <n v="0"/>
    <n v="0"/>
    <n v="0"/>
  </r>
  <r>
    <x v="2"/>
    <x v="0"/>
    <s v="S12000020"/>
    <x v="10"/>
    <n v="20"/>
    <n v="2"/>
    <n v="1"/>
    <n v="17"/>
  </r>
  <r>
    <x v="2"/>
    <x v="0"/>
    <s v="S12000021"/>
    <x v="11"/>
    <n v="22"/>
    <n v="3"/>
    <n v="4"/>
    <n v="15"/>
  </r>
  <r>
    <x v="2"/>
    <x v="0"/>
    <s v="S12000023"/>
    <x v="12"/>
    <n v="0"/>
    <n v="0"/>
    <n v="0"/>
    <n v="0"/>
  </r>
  <r>
    <x v="2"/>
    <x v="0"/>
    <s v="S12000024"/>
    <x v="13"/>
    <n v="23"/>
    <n v="0"/>
    <n v="2"/>
    <n v="21"/>
  </r>
  <r>
    <x v="2"/>
    <x v="0"/>
    <s v="S12000026"/>
    <x v="14"/>
    <n v="0"/>
    <n v="0"/>
    <n v="0"/>
    <n v="0"/>
  </r>
  <r>
    <x v="2"/>
    <x v="0"/>
    <s v="S12000027"/>
    <x v="15"/>
    <n v="0"/>
    <n v="0"/>
    <n v="0"/>
    <n v="0"/>
  </r>
  <r>
    <x v="2"/>
    <x v="0"/>
    <s v="S12000028"/>
    <x v="16"/>
    <n v="0"/>
    <n v="0"/>
    <n v="0"/>
    <n v="0"/>
  </r>
  <r>
    <x v="2"/>
    <x v="0"/>
    <s v="S12000029"/>
    <x v="17"/>
    <n v="3"/>
    <n v="0"/>
    <n v="1"/>
    <n v="2"/>
  </r>
  <r>
    <x v="2"/>
    <x v="0"/>
    <s v="S12000030"/>
    <x v="18"/>
    <n v="0"/>
    <n v="0"/>
    <n v="0"/>
    <n v="0"/>
  </r>
  <r>
    <x v="2"/>
    <x v="0"/>
    <s v="S12000033"/>
    <x v="19"/>
    <n v="0"/>
    <n v="0"/>
    <n v="0"/>
    <n v="0"/>
  </r>
  <r>
    <x v="2"/>
    <x v="0"/>
    <s v="S12000034"/>
    <x v="20"/>
    <n v="0"/>
    <n v="0"/>
    <n v="0"/>
    <n v="0"/>
  </r>
  <r>
    <x v="2"/>
    <x v="0"/>
    <s v="S12000035"/>
    <x v="21"/>
    <n v="201"/>
    <n v="22"/>
    <n v="23"/>
    <n v="156"/>
  </r>
  <r>
    <x v="2"/>
    <x v="0"/>
    <s v="S12000036"/>
    <x v="22"/>
    <n v="0"/>
    <n v="0"/>
    <n v="0"/>
    <n v="0"/>
  </r>
  <r>
    <x v="2"/>
    <x v="0"/>
    <s v="S12000038"/>
    <x v="23"/>
    <n v="0"/>
    <n v="0"/>
    <n v="0"/>
    <n v="0"/>
  </r>
  <r>
    <x v="2"/>
    <x v="0"/>
    <s v="S12000039"/>
    <x v="24"/>
    <n v="0"/>
    <n v="0"/>
    <n v="0"/>
    <n v="0"/>
  </r>
  <r>
    <x v="2"/>
    <x v="0"/>
    <s v="S12000040"/>
    <x v="25"/>
    <n v="0"/>
    <n v="0"/>
    <n v="0"/>
    <n v="0"/>
  </r>
  <r>
    <x v="2"/>
    <x v="0"/>
    <s v="S12000041"/>
    <x v="26"/>
    <n v="0"/>
    <n v="0"/>
    <n v="0"/>
    <n v="0"/>
  </r>
  <r>
    <x v="2"/>
    <x v="0"/>
    <s v="S12000042"/>
    <x v="27"/>
    <n v="0"/>
    <n v="0"/>
    <n v="0"/>
    <n v="0"/>
  </r>
  <r>
    <x v="2"/>
    <x v="0"/>
    <s v="S12000044"/>
    <x v="28"/>
    <n v="0"/>
    <n v="0"/>
    <n v="0"/>
    <n v="0"/>
  </r>
  <r>
    <x v="2"/>
    <x v="0"/>
    <s v="S12000045"/>
    <x v="29"/>
    <n v="0"/>
    <n v="0"/>
    <n v="0"/>
    <n v="0"/>
  </r>
  <r>
    <x v="2"/>
    <x v="0"/>
    <s v="S12000046"/>
    <x v="30"/>
    <n v="0"/>
    <n v="0"/>
    <n v="0"/>
    <n v="0"/>
  </r>
  <r>
    <x v="2"/>
    <x v="0"/>
    <s v="S12000047"/>
    <x v="31"/>
    <n v="0"/>
    <n v="0"/>
    <n v="0"/>
    <n v="0"/>
  </r>
  <r>
    <x v="3"/>
    <x v="0"/>
    <s v="S12000005"/>
    <x v="0"/>
    <n v="0"/>
    <n v="0"/>
    <n v="0"/>
    <n v="0"/>
  </r>
  <r>
    <x v="3"/>
    <x v="0"/>
    <s v="S12000006"/>
    <x v="1"/>
    <n v="5"/>
    <n v="1"/>
    <n v="1"/>
    <n v="3"/>
  </r>
  <r>
    <x v="3"/>
    <x v="0"/>
    <s v="S12000008"/>
    <x v="2"/>
    <n v="0"/>
    <n v="0"/>
    <n v="0"/>
    <n v="0"/>
  </r>
  <r>
    <x v="3"/>
    <x v="0"/>
    <s v="S12000010"/>
    <x v="3"/>
    <n v="0"/>
    <n v="0"/>
    <n v="0"/>
    <n v="0"/>
  </r>
  <r>
    <x v="3"/>
    <x v="0"/>
    <s v="S12000011"/>
    <x v="4"/>
    <n v="0"/>
    <n v="0"/>
    <n v="0"/>
    <n v="0"/>
  </r>
  <r>
    <x v="3"/>
    <x v="0"/>
    <s v="S12000013"/>
    <x v="5"/>
    <n v="0"/>
    <n v="0"/>
    <n v="0"/>
    <n v="0"/>
  </r>
  <r>
    <x v="3"/>
    <x v="0"/>
    <s v="S12000014"/>
    <x v="6"/>
    <n v="0"/>
    <n v="0"/>
    <n v="0"/>
    <n v="0"/>
  </r>
  <r>
    <x v="3"/>
    <x v="0"/>
    <s v="S12000017"/>
    <x v="7"/>
    <n v="67"/>
    <n v="7"/>
    <n v="13"/>
    <n v="47"/>
  </r>
  <r>
    <x v="3"/>
    <x v="0"/>
    <s v="S12000018"/>
    <x v="8"/>
    <n v="0"/>
    <n v="0"/>
    <n v="0"/>
    <n v="0"/>
  </r>
  <r>
    <x v="3"/>
    <x v="0"/>
    <s v="S12000019"/>
    <x v="9"/>
    <n v="0"/>
    <n v="0"/>
    <n v="0"/>
    <n v="0"/>
  </r>
  <r>
    <x v="3"/>
    <x v="0"/>
    <s v="S12000020"/>
    <x v="10"/>
    <n v="0"/>
    <n v="0"/>
    <n v="0"/>
    <n v="0"/>
  </r>
  <r>
    <x v="3"/>
    <x v="0"/>
    <s v="S12000021"/>
    <x v="11"/>
    <n v="18"/>
    <n v="3"/>
    <n v="4"/>
    <n v="11"/>
  </r>
  <r>
    <x v="3"/>
    <x v="0"/>
    <s v="S12000023"/>
    <x v="12"/>
    <n v="0"/>
    <n v="0"/>
    <n v="0"/>
    <n v="0"/>
  </r>
  <r>
    <x v="3"/>
    <x v="0"/>
    <s v="S12000024"/>
    <x v="13"/>
    <n v="23"/>
    <n v="0"/>
    <n v="3"/>
    <n v="20"/>
  </r>
  <r>
    <x v="3"/>
    <x v="0"/>
    <s v="S12000026"/>
    <x v="14"/>
    <n v="0"/>
    <n v="0"/>
    <n v="0"/>
    <n v="0"/>
  </r>
  <r>
    <x v="3"/>
    <x v="0"/>
    <s v="S12000027"/>
    <x v="15"/>
    <n v="0"/>
    <n v="0"/>
    <n v="0"/>
    <n v="0"/>
  </r>
  <r>
    <x v="3"/>
    <x v="0"/>
    <s v="S12000028"/>
    <x v="16"/>
    <n v="0"/>
    <n v="0"/>
    <n v="0"/>
    <n v="0"/>
  </r>
  <r>
    <x v="3"/>
    <x v="0"/>
    <s v="S12000029"/>
    <x v="17"/>
    <n v="3"/>
    <n v="1"/>
    <n v="0"/>
    <n v="2"/>
  </r>
  <r>
    <x v="3"/>
    <x v="0"/>
    <s v="S12000030"/>
    <x v="18"/>
    <n v="0"/>
    <n v="0"/>
    <n v="0"/>
    <n v="0"/>
  </r>
  <r>
    <x v="3"/>
    <x v="0"/>
    <s v="S12000033"/>
    <x v="19"/>
    <n v="0"/>
    <n v="0"/>
    <n v="0"/>
    <n v="0"/>
  </r>
  <r>
    <x v="3"/>
    <x v="0"/>
    <s v="S12000034"/>
    <x v="20"/>
    <n v="0"/>
    <n v="0"/>
    <n v="0"/>
    <n v="0"/>
  </r>
  <r>
    <x v="3"/>
    <x v="0"/>
    <s v="S12000035"/>
    <x v="21"/>
    <n v="200"/>
    <n v="24"/>
    <n v="21"/>
    <n v="155"/>
  </r>
  <r>
    <x v="3"/>
    <x v="0"/>
    <s v="S12000036"/>
    <x v="22"/>
    <n v="0"/>
    <n v="0"/>
    <n v="0"/>
    <n v="0"/>
  </r>
  <r>
    <x v="3"/>
    <x v="0"/>
    <s v="S12000038"/>
    <x v="23"/>
    <n v="0"/>
    <n v="0"/>
    <n v="0"/>
    <n v="0"/>
  </r>
  <r>
    <x v="3"/>
    <x v="0"/>
    <s v="S12000039"/>
    <x v="24"/>
    <n v="0"/>
    <n v="0"/>
    <n v="0"/>
    <n v="0"/>
  </r>
  <r>
    <x v="3"/>
    <x v="0"/>
    <s v="S12000040"/>
    <x v="25"/>
    <n v="0"/>
    <n v="0"/>
    <n v="0"/>
    <n v="0"/>
  </r>
  <r>
    <x v="3"/>
    <x v="0"/>
    <s v="S12000041"/>
    <x v="26"/>
    <n v="0"/>
    <n v="0"/>
    <n v="0"/>
    <n v="0"/>
  </r>
  <r>
    <x v="3"/>
    <x v="0"/>
    <s v="S12000042"/>
    <x v="27"/>
    <n v="0"/>
    <n v="0"/>
    <n v="0"/>
    <n v="0"/>
  </r>
  <r>
    <x v="3"/>
    <x v="0"/>
    <s v="S12000044"/>
    <x v="28"/>
    <n v="0"/>
    <n v="0"/>
    <n v="0"/>
    <n v="0"/>
  </r>
  <r>
    <x v="3"/>
    <x v="0"/>
    <s v="S12000045"/>
    <x v="29"/>
    <n v="0"/>
    <n v="0"/>
    <n v="0"/>
    <n v="0"/>
  </r>
  <r>
    <x v="3"/>
    <x v="0"/>
    <s v="S12000046"/>
    <x v="30"/>
    <n v="0"/>
    <n v="0"/>
    <n v="0"/>
    <n v="0"/>
  </r>
  <r>
    <x v="3"/>
    <x v="0"/>
    <s v="S12000047"/>
    <x v="31"/>
    <n v="0"/>
    <n v="0"/>
    <n v="0"/>
    <n v="0"/>
  </r>
  <r>
    <x v="4"/>
    <x v="0"/>
    <s v="S12000006"/>
    <x v="1"/>
    <n v="4"/>
    <n v="1"/>
    <m/>
    <n v="3"/>
  </r>
  <r>
    <x v="4"/>
    <x v="0"/>
    <s v="S12000017"/>
    <x v="7"/>
    <n v="64"/>
    <n v="7"/>
    <n v="11"/>
    <n v="46"/>
  </r>
  <r>
    <x v="4"/>
    <x v="0"/>
    <s v="S12000021"/>
    <x v="11"/>
    <n v="23"/>
    <n v="3"/>
    <n v="3"/>
    <n v="17"/>
  </r>
  <r>
    <x v="4"/>
    <x v="0"/>
    <s v="S12000024"/>
    <x v="13"/>
    <n v="28"/>
    <m/>
    <n v="3"/>
    <n v="25"/>
  </r>
  <r>
    <x v="4"/>
    <x v="0"/>
    <s v="S12000029"/>
    <x v="17"/>
    <n v="2"/>
    <n v="1"/>
    <m/>
    <n v="1"/>
  </r>
  <r>
    <x v="4"/>
    <x v="0"/>
    <s v="S12000035"/>
    <x v="21"/>
    <n v="211"/>
    <n v="25"/>
    <n v="22"/>
    <n v="164"/>
  </r>
  <r>
    <x v="5"/>
    <x v="0"/>
    <s v="S12000006"/>
    <x v="1"/>
    <n v="6"/>
    <n v="1"/>
    <m/>
    <n v="5"/>
  </r>
  <r>
    <x v="5"/>
    <x v="0"/>
    <s v="S12000017"/>
    <x v="7"/>
    <n v="62"/>
    <n v="7"/>
    <n v="12"/>
    <n v="43"/>
  </r>
  <r>
    <x v="5"/>
    <x v="0"/>
    <s v="S12000021"/>
    <x v="11"/>
    <n v="22"/>
    <n v="3"/>
    <n v="3"/>
    <n v="16"/>
  </r>
  <r>
    <x v="5"/>
    <x v="0"/>
    <s v="S12000024"/>
    <x v="13"/>
    <n v="22"/>
    <m/>
    <n v="3"/>
    <n v="19"/>
  </r>
  <r>
    <x v="5"/>
    <x v="0"/>
    <s v="S12000029"/>
    <x v="17"/>
    <n v="2"/>
    <n v="1"/>
    <m/>
    <n v="1"/>
  </r>
  <r>
    <x v="5"/>
    <x v="0"/>
    <s v="S12000035"/>
    <x v="21"/>
    <n v="203"/>
    <n v="25"/>
    <n v="22"/>
    <n v="156"/>
  </r>
</pivotCacheRecords>
</file>

<file path=xl/pivotCache/pivotCacheRecords20.xml><?xml version="1.0" encoding="utf-8"?>
<pivotCacheRecords xmlns="http://schemas.openxmlformats.org/spreadsheetml/2006/main" xmlns:r="http://schemas.openxmlformats.org/officeDocument/2006/relationships" count="160">
  <r>
    <x v="0"/>
    <x v="0"/>
    <s v="S12000033"/>
    <n v="3"/>
    <n v="1"/>
    <m/>
    <n v="4"/>
  </r>
  <r>
    <x v="0"/>
    <x v="1"/>
    <s v="S12000034"/>
    <n v="1"/>
    <n v="23"/>
    <m/>
    <n v="24"/>
  </r>
  <r>
    <x v="0"/>
    <x v="2"/>
    <s v="S12000041"/>
    <n v="1"/>
    <n v="5"/>
    <m/>
    <n v="6"/>
  </r>
  <r>
    <x v="0"/>
    <x v="3"/>
    <s v="S12000035"/>
    <n v="2"/>
    <n v="12"/>
    <n v="25"/>
    <n v="39"/>
  </r>
  <r>
    <x v="0"/>
    <x v="4"/>
    <s v="S12000036"/>
    <n v="7"/>
    <n v="1"/>
    <m/>
    <n v="8"/>
  </r>
  <r>
    <x v="0"/>
    <x v="5"/>
    <s v="S12000005"/>
    <n v="1"/>
    <n v="1"/>
    <m/>
    <n v="2"/>
  </r>
  <r>
    <x v="0"/>
    <x v="6"/>
    <s v="S12000006"/>
    <n v="1"/>
    <n v="15"/>
    <n v="1"/>
    <n v="17"/>
  </r>
  <r>
    <x v="0"/>
    <x v="7"/>
    <s v="S12000042"/>
    <n v="4"/>
    <m/>
    <m/>
    <n v="4"/>
  </r>
  <r>
    <x v="0"/>
    <x v="8"/>
    <s v="S12000008"/>
    <n v="1"/>
    <n v="7"/>
    <m/>
    <n v="8"/>
  </r>
  <r>
    <x v="0"/>
    <x v="9"/>
    <s v="S12000045"/>
    <n v="3"/>
    <m/>
    <m/>
    <n v="3"/>
  </r>
  <r>
    <x v="0"/>
    <x v="10"/>
    <s v="S12000010"/>
    <n v="1"/>
    <n v="5"/>
    <m/>
    <n v="6"/>
  </r>
  <r>
    <x v="0"/>
    <x v="11"/>
    <s v="S12000011"/>
    <n v="2"/>
    <m/>
    <m/>
    <n v="2"/>
  </r>
  <r>
    <x v="0"/>
    <x v="12"/>
    <s v="S12000014"/>
    <n v="3"/>
    <n v="2"/>
    <m/>
    <n v="5"/>
  </r>
  <r>
    <x v="0"/>
    <x v="13"/>
    <s v="S12000047"/>
    <n v="5"/>
    <n v="8"/>
    <m/>
    <n v="13"/>
  </r>
  <r>
    <x v="0"/>
    <x v="14"/>
    <s v="S12000046"/>
    <n v="11"/>
    <m/>
    <m/>
    <n v="11"/>
  </r>
  <r>
    <x v="0"/>
    <x v="15"/>
    <s v="S12000017"/>
    <n v="1"/>
    <n v="51"/>
    <n v="9"/>
    <n v="61"/>
  </r>
  <r>
    <x v="0"/>
    <x v="16"/>
    <s v="S12000018"/>
    <n v="2"/>
    <n v="1"/>
    <m/>
    <n v="3"/>
  </r>
  <r>
    <x v="0"/>
    <x v="17"/>
    <s v="S12000019"/>
    <n v="1"/>
    <n v="1"/>
    <m/>
    <n v="2"/>
  </r>
  <r>
    <x v="0"/>
    <x v="18"/>
    <s v="S12000020"/>
    <n v="1"/>
    <n v="10"/>
    <m/>
    <n v="11"/>
  </r>
  <r>
    <x v="0"/>
    <x v="19"/>
    <s v="S12000013"/>
    <m/>
    <n v="14"/>
    <m/>
    <n v="14"/>
  </r>
  <r>
    <x v="0"/>
    <x v="20"/>
    <s v="S12000021"/>
    <n v="3"/>
    <n v="8"/>
    <n v="3"/>
    <n v="14"/>
  </r>
  <r>
    <x v="0"/>
    <x v="21"/>
    <s v="S12000044"/>
    <n v="4"/>
    <n v="3"/>
    <m/>
    <n v="7"/>
  </r>
  <r>
    <x v="0"/>
    <x v="22"/>
    <s v="S12000023"/>
    <m/>
    <n v="12"/>
    <m/>
    <n v="12"/>
  </r>
  <r>
    <x v="0"/>
    <x v="23"/>
    <s v="S12000024"/>
    <n v="1"/>
    <n v="10"/>
    <n v="3"/>
    <n v="14"/>
  </r>
  <r>
    <x v="0"/>
    <x v="24"/>
    <s v="S12000038"/>
    <n v="3"/>
    <m/>
    <m/>
    <n v="3"/>
  </r>
  <r>
    <x v="0"/>
    <x v="25"/>
    <s v="S12000026"/>
    <n v="2"/>
    <n v="11"/>
    <m/>
    <n v="13"/>
  </r>
  <r>
    <x v="0"/>
    <x v="26"/>
    <s v="S12000027"/>
    <m/>
    <n v="14"/>
    <m/>
    <n v="14"/>
  </r>
  <r>
    <x v="0"/>
    <x v="27"/>
    <s v="S12000028"/>
    <n v="1"/>
    <n v="4"/>
    <m/>
    <n v="5"/>
  </r>
  <r>
    <x v="0"/>
    <x v="28"/>
    <s v="S12000029"/>
    <n v="4"/>
    <n v="7"/>
    <n v="1"/>
    <n v="12"/>
  </r>
  <r>
    <x v="0"/>
    <x v="29"/>
    <s v="S12000030"/>
    <n v="1"/>
    <n v="9"/>
    <m/>
    <n v="10"/>
  </r>
  <r>
    <x v="0"/>
    <x v="30"/>
    <s v="S12000039"/>
    <n v="2"/>
    <n v="1"/>
    <m/>
    <n v="3"/>
  </r>
  <r>
    <x v="0"/>
    <x v="31"/>
    <s v="S12000040"/>
    <n v="2"/>
    <n v="4"/>
    <m/>
    <n v="6"/>
  </r>
  <r>
    <x v="1"/>
    <x v="0"/>
    <s v="S12000033"/>
    <n v="3"/>
    <n v="1"/>
    <m/>
    <n v="4"/>
  </r>
  <r>
    <x v="1"/>
    <x v="1"/>
    <s v="S12000034"/>
    <n v="1"/>
    <n v="23"/>
    <m/>
    <n v="24"/>
  </r>
  <r>
    <x v="1"/>
    <x v="2"/>
    <s v="S12000041"/>
    <n v="1"/>
    <n v="5"/>
    <m/>
    <n v="6"/>
  </r>
  <r>
    <x v="1"/>
    <x v="3"/>
    <s v="S12000035"/>
    <n v="2"/>
    <n v="12"/>
    <n v="25"/>
    <n v="39"/>
  </r>
  <r>
    <x v="1"/>
    <x v="4"/>
    <s v="S12000036"/>
    <n v="7"/>
    <n v="1"/>
    <m/>
    <n v="8"/>
  </r>
  <r>
    <x v="1"/>
    <x v="5"/>
    <s v="S12000005"/>
    <n v="1"/>
    <n v="1"/>
    <m/>
    <n v="2"/>
  </r>
  <r>
    <x v="1"/>
    <x v="6"/>
    <s v="S12000006"/>
    <n v="1"/>
    <n v="15"/>
    <n v="1"/>
    <n v="17"/>
  </r>
  <r>
    <x v="1"/>
    <x v="7"/>
    <s v="S12000042"/>
    <n v="4"/>
    <m/>
    <m/>
    <n v="4"/>
  </r>
  <r>
    <x v="1"/>
    <x v="8"/>
    <s v="S12000008"/>
    <n v="1"/>
    <n v="7"/>
    <m/>
    <n v="8"/>
  </r>
  <r>
    <x v="1"/>
    <x v="9"/>
    <s v="S12000045"/>
    <n v="3"/>
    <m/>
    <m/>
    <n v="3"/>
  </r>
  <r>
    <x v="1"/>
    <x v="10"/>
    <s v="S12000010"/>
    <n v="1"/>
    <n v="5"/>
    <m/>
    <n v="6"/>
  </r>
  <r>
    <x v="1"/>
    <x v="11"/>
    <s v="S12000011"/>
    <n v="2"/>
    <m/>
    <m/>
    <n v="2"/>
  </r>
  <r>
    <x v="1"/>
    <x v="12"/>
    <s v="S12000014"/>
    <n v="3"/>
    <n v="2"/>
    <m/>
    <n v="5"/>
  </r>
  <r>
    <x v="1"/>
    <x v="13"/>
    <s v="S12000047"/>
    <n v="5"/>
    <n v="8"/>
    <m/>
    <n v="13"/>
  </r>
  <r>
    <x v="1"/>
    <x v="14"/>
    <s v="S12000046"/>
    <n v="11"/>
    <m/>
    <m/>
    <n v="11"/>
  </r>
  <r>
    <x v="1"/>
    <x v="15"/>
    <s v="S12000017"/>
    <n v="1"/>
    <n v="51"/>
    <n v="9"/>
    <n v="61"/>
  </r>
  <r>
    <x v="1"/>
    <x v="16"/>
    <s v="S12000018"/>
    <n v="2"/>
    <n v="1"/>
    <m/>
    <n v="3"/>
  </r>
  <r>
    <x v="1"/>
    <x v="17"/>
    <s v="S12000019"/>
    <n v="1"/>
    <n v="1"/>
    <m/>
    <n v="2"/>
  </r>
  <r>
    <x v="1"/>
    <x v="18"/>
    <s v="S12000020"/>
    <n v="1"/>
    <n v="10"/>
    <m/>
    <n v="11"/>
  </r>
  <r>
    <x v="1"/>
    <x v="19"/>
    <s v="S12000013"/>
    <m/>
    <n v="14"/>
    <m/>
    <n v="14"/>
  </r>
  <r>
    <x v="1"/>
    <x v="20"/>
    <s v="S12000021"/>
    <n v="3"/>
    <n v="8"/>
    <n v="3"/>
    <n v="14"/>
  </r>
  <r>
    <x v="1"/>
    <x v="21"/>
    <s v="S12000044"/>
    <n v="4"/>
    <n v="3"/>
    <m/>
    <n v="7"/>
  </r>
  <r>
    <x v="1"/>
    <x v="22"/>
    <s v="S12000023"/>
    <m/>
    <n v="12"/>
    <m/>
    <n v="12"/>
  </r>
  <r>
    <x v="1"/>
    <x v="23"/>
    <s v="S12000024"/>
    <n v="1"/>
    <n v="10"/>
    <n v="3"/>
    <n v="14"/>
  </r>
  <r>
    <x v="1"/>
    <x v="24"/>
    <s v="S12000038"/>
    <n v="3"/>
    <m/>
    <m/>
    <n v="3"/>
  </r>
  <r>
    <x v="1"/>
    <x v="25"/>
    <s v="S12000026"/>
    <n v="2"/>
    <n v="11"/>
    <m/>
    <n v="13"/>
  </r>
  <r>
    <x v="1"/>
    <x v="26"/>
    <s v="S12000027"/>
    <m/>
    <n v="14"/>
    <m/>
    <n v="14"/>
  </r>
  <r>
    <x v="1"/>
    <x v="27"/>
    <s v="S12000028"/>
    <n v="1"/>
    <n v="4"/>
    <m/>
    <n v="5"/>
  </r>
  <r>
    <x v="1"/>
    <x v="28"/>
    <s v="S12000029"/>
    <n v="4"/>
    <n v="7"/>
    <n v="1"/>
    <n v="12"/>
  </r>
  <r>
    <x v="1"/>
    <x v="29"/>
    <s v="S12000030"/>
    <n v="1"/>
    <n v="9"/>
    <m/>
    <n v="10"/>
  </r>
  <r>
    <x v="1"/>
    <x v="30"/>
    <s v="S12000039"/>
    <n v="2"/>
    <n v="1"/>
    <m/>
    <n v="3"/>
  </r>
  <r>
    <x v="1"/>
    <x v="31"/>
    <s v="S12000040"/>
    <n v="2"/>
    <n v="4"/>
    <m/>
    <n v="6"/>
  </r>
  <r>
    <x v="2"/>
    <x v="0"/>
    <s v="S12000033"/>
    <n v="3"/>
    <n v="1"/>
    <m/>
    <n v="4"/>
  </r>
  <r>
    <x v="2"/>
    <x v="1"/>
    <s v="S12000034"/>
    <n v="1"/>
    <n v="23"/>
    <m/>
    <n v="24"/>
  </r>
  <r>
    <x v="2"/>
    <x v="2"/>
    <s v="S12000041"/>
    <n v="1"/>
    <n v="5"/>
    <m/>
    <n v="6"/>
  </r>
  <r>
    <x v="2"/>
    <x v="3"/>
    <s v="S12000035"/>
    <n v="2"/>
    <n v="12"/>
    <n v="25"/>
    <n v="39"/>
  </r>
  <r>
    <x v="2"/>
    <x v="4"/>
    <s v="S12000036"/>
    <n v="7"/>
    <n v="1"/>
    <m/>
    <n v="8"/>
  </r>
  <r>
    <x v="2"/>
    <x v="5"/>
    <s v="S12000005"/>
    <n v="1"/>
    <n v="1"/>
    <m/>
    <n v="2"/>
  </r>
  <r>
    <x v="2"/>
    <x v="6"/>
    <s v="S12000006"/>
    <n v="1"/>
    <n v="15"/>
    <n v="1"/>
    <n v="17"/>
  </r>
  <r>
    <x v="2"/>
    <x v="7"/>
    <s v="S12000042"/>
    <n v="4"/>
    <m/>
    <m/>
    <n v="4"/>
  </r>
  <r>
    <x v="2"/>
    <x v="8"/>
    <s v="S12000008"/>
    <n v="1"/>
    <n v="7"/>
    <m/>
    <n v="8"/>
  </r>
  <r>
    <x v="2"/>
    <x v="9"/>
    <s v="S12000045"/>
    <n v="3"/>
    <m/>
    <m/>
    <n v="3"/>
  </r>
  <r>
    <x v="2"/>
    <x v="10"/>
    <s v="S12000010"/>
    <n v="1"/>
    <n v="5"/>
    <m/>
    <n v="6"/>
  </r>
  <r>
    <x v="2"/>
    <x v="11"/>
    <s v="S12000011"/>
    <n v="2"/>
    <m/>
    <m/>
    <n v="2"/>
  </r>
  <r>
    <x v="2"/>
    <x v="12"/>
    <s v="S12000014"/>
    <n v="3"/>
    <n v="2"/>
    <m/>
    <n v="5"/>
  </r>
  <r>
    <x v="2"/>
    <x v="13"/>
    <s v="S12000047"/>
    <n v="5"/>
    <n v="8"/>
    <m/>
    <n v="13"/>
  </r>
  <r>
    <x v="2"/>
    <x v="14"/>
    <s v="S12000046"/>
    <n v="11"/>
    <m/>
    <m/>
    <n v="11"/>
  </r>
  <r>
    <x v="2"/>
    <x v="15"/>
    <s v="S12000017"/>
    <n v="1"/>
    <n v="51"/>
    <n v="9"/>
    <n v="61"/>
  </r>
  <r>
    <x v="2"/>
    <x v="16"/>
    <s v="S12000018"/>
    <n v="2"/>
    <n v="1"/>
    <m/>
    <n v="3"/>
  </r>
  <r>
    <x v="2"/>
    <x v="17"/>
    <s v="S12000019"/>
    <n v="1"/>
    <n v="1"/>
    <m/>
    <n v="2"/>
  </r>
  <r>
    <x v="2"/>
    <x v="18"/>
    <s v="S12000020"/>
    <n v="1"/>
    <n v="10"/>
    <m/>
    <n v="11"/>
  </r>
  <r>
    <x v="2"/>
    <x v="19"/>
    <s v="S12000013"/>
    <m/>
    <n v="14"/>
    <m/>
    <n v="14"/>
  </r>
  <r>
    <x v="2"/>
    <x v="20"/>
    <s v="S12000021"/>
    <n v="3"/>
    <n v="8"/>
    <n v="3"/>
    <n v="14"/>
  </r>
  <r>
    <x v="2"/>
    <x v="21"/>
    <s v="S12000044"/>
    <n v="4"/>
    <n v="3"/>
    <m/>
    <n v="7"/>
  </r>
  <r>
    <x v="2"/>
    <x v="22"/>
    <s v="S12000023"/>
    <m/>
    <n v="12"/>
    <m/>
    <n v="12"/>
  </r>
  <r>
    <x v="2"/>
    <x v="23"/>
    <s v="S12000024"/>
    <n v="1"/>
    <n v="10"/>
    <n v="3"/>
    <n v="14"/>
  </r>
  <r>
    <x v="2"/>
    <x v="24"/>
    <s v="S12000038"/>
    <n v="3"/>
    <m/>
    <m/>
    <n v="3"/>
  </r>
  <r>
    <x v="2"/>
    <x v="25"/>
    <s v="S12000026"/>
    <n v="2"/>
    <n v="11"/>
    <m/>
    <n v="13"/>
  </r>
  <r>
    <x v="2"/>
    <x v="26"/>
    <s v="S12000027"/>
    <m/>
    <n v="14"/>
    <m/>
    <n v="14"/>
  </r>
  <r>
    <x v="2"/>
    <x v="27"/>
    <s v="S12000028"/>
    <n v="1"/>
    <n v="4"/>
    <m/>
    <n v="5"/>
  </r>
  <r>
    <x v="2"/>
    <x v="28"/>
    <s v="S12000029"/>
    <n v="4"/>
    <n v="7"/>
    <n v="1"/>
    <n v="12"/>
  </r>
  <r>
    <x v="2"/>
    <x v="29"/>
    <s v="S12000030"/>
    <n v="1"/>
    <n v="9"/>
    <m/>
    <n v="10"/>
  </r>
  <r>
    <x v="2"/>
    <x v="30"/>
    <s v="S12000039"/>
    <n v="2"/>
    <n v="1"/>
    <m/>
    <n v="3"/>
  </r>
  <r>
    <x v="2"/>
    <x v="31"/>
    <s v="S12000040"/>
    <n v="2"/>
    <n v="4"/>
    <m/>
    <n v="6"/>
  </r>
  <r>
    <x v="3"/>
    <x v="0"/>
    <s v="S12000033"/>
    <n v="3"/>
    <n v="1"/>
    <m/>
    <n v="4"/>
  </r>
  <r>
    <x v="3"/>
    <x v="1"/>
    <s v="S12000034"/>
    <n v="1"/>
    <n v="23"/>
    <m/>
    <n v="24"/>
  </r>
  <r>
    <x v="3"/>
    <x v="2"/>
    <s v="S12000041"/>
    <n v="1"/>
    <n v="5"/>
    <m/>
    <n v="6"/>
  </r>
  <r>
    <x v="3"/>
    <x v="3"/>
    <s v="S12000035"/>
    <n v="2"/>
    <n v="12"/>
    <n v="25"/>
    <n v="39"/>
  </r>
  <r>
    <x v="3"/>
    <x v="4"/>
    <s v="S12000036"/>
    <n v="7"/>
    <n v="1"/>
    <m/>
    <n v="8"/>
  </r>
  <r>
    <x v="3"/>
    <x v="5"/>
    <s v="S12000005"/>
    <n v="1"/>
    <n v="1"/>
    <m/>
    <n v="2"/>
  </r>
  <r>
    <x v="3"/>
    <x v="6"/>
    <s v="S12000006"/>
    <n v="1"/>
    <n v="15"/>
    <n v="1"/>
    <n v="17"/>
  </r>
  <r>
    <x v="3"/>
    <x v="7"/>
    <s v="S12000042"/>
    <n v="4"/>
    <m/>
    <m/>
    <n v="4"/>
  </r>
  <r>
    <x v="3"/>
    <x v="8"/>
    <s v="S12000008"/>
    <n v="1"/>
    <n v="7"/>
    <m/>
    <n v="8"/>
  </r>
  <r>
    <x v="3"/>
    <x v="9"/>
    <s v="S12000045"/>
    <n v="3"/>
    <m/>
    <m/>
    <n v="3"/>
  </r>
  <r>
    <x v="3"/>
    <x v="10"/>
    <s v="S12000010"/>
    <n v="1"/>
    <n v="5"/>
    <m/>
    <n v="6"/>
  </r>
  <r>
    <x v="3"/>
    <x v="11"/>
    <s v="S12000011"/>
    <n v="2"/>
    <m/>
    <m/>
    <n v="2"/>
  </r>
  <r>
    <x v="3"/>
    <x v="12"/>
    <s v="S12000014"/>
    <n v="3"/>
    <n v="2"/>
    <m/>
    <n v="5"/>
  </r>
  <r>
    <x v="3"/>
    <x v="13"/>
    <s v="S12000047"/>
    <n v="5"/>
    <n v="8"/>
    <m/>
    <n v="13"/>
  </r>
  <r>
    <x v="3"/>
    <x v="14"/>
    <s v="S12000046"/>
    <n v="11"/>
    <m/>
    <m/>
    <n v="11"/>
  </r>
  <r>
    <x v="3"/>
    <x v="15"/>
    <s v="S12000017"/>
    <n v="1"/>
    <n v="51"/>
    <n v="9"/>
    <n v="61"/>
  </r>
  <r>
    <x v="3"/>
    <x v="16"/>
    <s v="S12000018"/>
    <n v="2"/>
    <n v="1"/>
    <m/>
    <n v="3"/>
  </r>
  <r>
    <x v="3"/>
    <x v="17"/>
    <s v="S12000019"/>
    <n v="1"/>
    <n v="1"/>
    <m/>
    <n v="2"/>
  </r>
  <r>
    <x v="3"/>
    <x v="18"/>
    <s v="S12000020"/>
    <n v="1"/>
    <n v="10"/>
    <m/>
    <n v="11"/>
  </r>
  <r>
    <x v="3"/>
    <x v="19"/>
    <s v="S12000013"/>
    <m/>
    <n v="14"/>
    <m/>
    <n v="14"/>
  </r>
  <r>
    <x v="3"/>
    <x v="20"/>
    <s v="S12000021"/>
    <n v="3"/>
    <n v="8"/>
    <n v="3"/>
    <n v="14"/>
  </r>
  <r>
    <x v="3"/>
    <x v="21"/>
    <s v="S12000044"/>
    <n v="4"/>
    <n v="3"/>
    <m/>
    <n v="7"/>
  </r>
  <r>
    <x v="3"/>
    <x v="22"/>
    <s v="S12000023"/>
    <m/>
    <n v="12"/>
    <m/>
    <n v="12"/>
  </r>
  <r>
    <x v="3"/>
    <x v="23"/>
    <s v="S12000024"/>
    <n v="1"/>
    <n v="10"/>
    <n v="3"/>
    <n v="14"/>
  </r>
  <r>
    <x v="3"/>
    <x v="24"/>
    <s v="S12000038"/>
    <n v="3"/>
    <m/>
    <m/>
    <n v="3"/>
  </r>
  <r>
    <x v="3"/>
    <x v="25"/>
    <s v="S12000026"/>
    <n v="2"/>
    <n v="11"/>
    <m/>
    <n v="13"/>
  </r>
  <r>
    <x v="3"/>
    <x v="26"/>
    <s v="S12000027"/>
    <m/>
    <n v="14"/>
    <m/>
    <n v="14"/>
  </r>
  <r>
    <x v="3"/>
    <x v="27"/>
    <s v="S12000028"/>
    <n v="1"/>
    <n v="4"/>
    <m/>
    <n v="5"/>
  </r>
  <r>
    <x v="3"/>
    <x v="28"/>
    <s v="S12000029"/>
    <n v="4"/>
    <n v="7"/>
    <n v="1"/>
    <n v="12"/>
  </r>
  <r>
    <x v="3"/>
    <x v="29"/>
    <s v="S12000030"/>
    <n v="1"/>
    <n v="9"/>
    <m/>
    <n v="10"/>
  </r>
  <r>
    <x v="3"/>
    <x v="30"/>
    <s v="S12000039"/>
    <n v="2"/>
    <n v="1"/>
    <m/>
    <n v="3"/>
  </r>
  <r>
    <x v="3"/>
    <x v="31"/>
    <s v="S12000040"/>
    <n v="2"/>
    <n v="4"/>
    <m/>
    <n v="6"/>
  </r>
  <r>
    <x v="4"/>
    <x v="0"/>
    <s v="S12000033"/>
    <n v="3"/>
    <n v="1"/>
    <m/>
    <n v="4"/>
  </r>
  <r>
    <x v="4"/>
    <x v="1"/>
    <s v="S12000034"/>
    <n v="1"/>
    <n v="23"/>
    <m/>
    <n v="24"/>
  </r>
  <r>
    <x v="4"/>
    <x v="2"/>
    <s v="S12000041"/>
    <n v="1"/>
    <n v="5"/>
    <m/>
    <n v="6"/>
  </r>
  <r>
    <x v="4"/>
    <x v="3"/>
    <s v="S12000035"/>
    <n v="2"/>
    <n v="12"/>
    <n v="25"/>
    <n v="39"/>
  </r>
  <r>
    <x v="4"/>
    <x v="4"/>
    <s v="S12000036"/>
    <n v="7"/>
    <n v="1"/>
    <m/>
    <n v="8"/>
  </r>
  <r>
    <x v="4"/>
    <x v="5"/>
    <s v="S12000005"/>
    <n v="1"/>
    <n v="1"/>
    <m/>
    <n v="2"/>
  </r>
  <r>
    <x v="4"/>
    <x v="6"/>
    <s v="S12000006"/>
    <n v="1"/>
    <n v="15"/>
    <n v="1"/>
    <n v="17"/>
  </r>
  <r>
    <x v="4"/>
    <x v="7"/>
    <s v="S12000042"/>
    <n v="4"/>
    <m/>
    <m/>
    <n v="4"/>
  </r>
  <r>
    <x v="4"/>
    <x v="8"/>
    <s v="S12000008"/>
    <n v="1"/>
    <n v="7"/>
    <m/>
    <n v="8"/>
  </r>
  <r>
    <x v="4"/>
    <x v="9"/>
    <s v="S12000045"/>
    <n v="3"/>
    <m/>
    <m/>
    <n v="3"/>
  </r>
  <r>
    <x v="4"/>
    <x v="10"/>
    <s v="S12000010"/>
    <n v="1"/>
    <n v="5"/>
    <m/>
    <n v="6"/>
  </r>
  <r>
    <x v="4"/>
    <x v="11"/>
    <s v="S12000011"/>
    <n v="2"/>
    <m/>
    <m/>
    <n v="2"/>
  </r>
  <r>
    <x v="4"/>
    <x v="12"/>
    <s v="S12000014"/>
    <n v="3"/>
    <n v="2"/>
    <m/>
    <n v="5"/>
  </r>
  <r>
    <x v="4"/>
    <x v="13"/>
    <s v="S12000047"/>
    <n v="5"/>
    <n v="8"/>
    <m/>
    <n v="13"/>
  </r>
  <r>
    <x v="4"/>
    <x v="14"/>
    <s v="S12000046"/>
    <n v="11"/>
    <m/>
    <m/>
    <n v="11"/>
  </r>
  <r>
    <x v="4"/>
    <x v="15"/>
    <s v="S12000017"/>
    <n v="1"/>
    <n v="51"/>
    <n v="9"/>
    <n v="61"/>
  </r>
  <r>
    <x v="4"/>
    <x v="16"/>
    <s v="S12000018"/>
    <n v="2"/>
    <n v="1"/>
    <m/>
    <n v="3"/>
  </r>
  <r>
    <x v="4"/>
    <x v="17"/>
    <s v="S12000019"/>
    <n v="1"/>
    <n v="1"/>
    <m/>
    <n v="2"/>
  </r>
  <r>
    <x v="4"/>
    <x v="18"/>
    <s v="S12000020"/>
    <n v="1"/>
    <n v="10"/>
    <m/>
    <n v="11"/>
  </r>
  <r>
    <x v="4"/>
    <x v="19"/>
    <s v="S12000013"/>
    <m/>
    <n v="14"/>
    <m/>
    <n v="14"/>
  </r>
  <r>
    <x v="4"/>
    <x v="20"/>
    <s v="S12000021"/>
    <n v="3"/>
    <n v="8"/>
    <n v="3"/>
    <n v="14"/>
  </r>
  <r>
    <x v="4"/>
    <x v="21"/>
    <s v="S12000044"/>
    <n v="4"/>
    <n v="3"/>
    <m/>
    <n v="7"/>
  </r>
  <r>
    <x v="4"/>
    <x v="22"/>
    <s v="S12000023"/>
    <m/>
    <n v="12"/>
    <m/>
    <n v="12"/>
  </r>
  <r>
    <x v="4"/>
    <x v="23"/>
    <s v="S12000024"/>
    <n v="1"/>
    <n v="10"/>
    <n v="3"/>
    <n v="14"/>
  </r>
  <r>
    <x v="4"/>
    <x v="24"/>
    <s v="S12000038"/>
    <n v="3"/>
    <m/>
    <m/>
    <n v="3"/>
  </r>
  <r>
    <x v="4"/>
    <x v="25"/>
    <s v="S12000026"/>
    <n v="2"/>
    <n v="11"/>
    <m/>
    <n v="13"/>
  </r>
  <r>
    <x v="4"/>
    <x v="26"/>
    <s v="S12000027"/>
    <m/>
    <n v="14"/>
    <m/>
    <n v="14"/>
  </r>
  <r>
    <x v="4"/>
    <x v="27"/>
    <s v="S12000028"/>
    <n v="1"/>
    <n v="4"/>
    <m/>
    <n v="5"/>
  </r>
  <r>
    <x v="4"/>
    <x v="28"/>
    <s v="S12000029"/>
    <n v="4"/>
    <n v="7"/>
    <n v="1"/>
    <n v="12"/>
  </r>
  <r>
    <x v="4"/>
    <x v="29"/>
    <s v="S12000030"/>
    <n v="1"/>
    <n v="9"/>
    <m/>
    <n v="10"/>
  </r>
  <r>
    <x v="4"/>
    <x v="30"/>
    <s v="S12000039"/>
    <n v="2"/>
    <n v="1"/>
    <m/>
    <n v="3"/>
  </r>
  <r>
    <x v="4"/>
    <x v="31"/>
    <s v="S12000040"/>
    <n v="2"/>
    <n v="4"/>
    <m/>
    <n v="6"/>
  </r>
</pivotCacheRecords>
</file>

<file path=xl/pivotCache/pivotCacheRecords21.xml><?xml version="1.0" encoding="utf-8"?>
<pivotCacheRecords xmlns="http://schemas.openxmlformats.org/spreadsheetml/2006/main" xmlns:r="http://schemas.openxmlformats.org/officeDocument/2006/relationships" count="41">
  <r>
    <x v="0"/>
    <x v="0"/>
    <x v="0"/>
    <n v="777"/>
  </r>
  <r>
    <x v="0"/>
    <x v="0"/>
    <x v="1"/>
    <n v="11"/>
  </r>
  <r>
    <x v="0"/>
    <x v="1"/>
    <x v="2"/>
    <n v="26"/>
  </r>
  <r>
    <x v="0"/>
    <x v="1"/>
    <x v="3"/>
    <n v="145"/>
  </r>
  <r>
    <x v="0"/>
    <x v="1"/>
    <x v="4"/>
    <n v="418"/>
  </r>
  <r>
    <x v="0"/>
    <x v="1"/>
    <x v="5"/>
    <n v="43"/>
  </r>
  <r>
    <x v="0"/>
    <x v="2"/>
    <x v="2"/>
    <n v="2"/>
  </r>
  <r>
    <x v="0"/>
    <x v="2"/>
    <x v="3"/>
    <n v="10"/>
  </r>
  <r>
    <x v="0"/>
    <x v="2"/>
    <x v="4"/>
    <n v="51"/>
  </r>
  <r>
    <x v="0"/>
    <x v="2"/>
    <x v="5"/>
    <n v="2"/>
  </r>
  <r>
    <x v="0"/>
    <x v="3"/>
    <x v="3"/>
    <n v="18"/>
  </r>
  <r>
    <x v="0"/>
    <x v="3"/>
    <x v="4"/>
    <n v="36"/>
  </r>
  <r>
    <x v="0"/>
    <x v="3"/>
    <x v="5"/>
    <n v="8"/>
  </r>
  <r>
    <x v="1"/>
    <x v="0"/>
    <x v="0"/>
    <n v="602"/>
  </r>
  <r>
    <x v="1"/>
    <x v="0"/>
    <x v="1"/>
    <n v="39"/>
  </r>
  <r>
    <x v="1"/>
    <x v="1"/>
    <x v="2"/>
    <n v="25"/>
  </r>
  <r>
    <x v="1"/>
    <x v="1"/>
    <x v="1"/>
    <n v="95"/>
  </r>
  <r>
    <x v="1"/>
    <x v="1"/>
    <x v="3"/>
    <n v="147"/>
  </r>
  <r>
    <x v="1"/>
    <x v="1"/>
    <x v="4"/>
    <n v="417"/>
  </r>
  <r>
    <x v="1"/>
    <x v="1"/>
    <x v="5"/>
    <n v="43"/>
  </r>
  <r>
    <x v="1"/>
    <x v="2"/>
    <x v="2"/>
    <n v="3"/>
  </r>
  <r>
    <x v="1"/>
    <x v="2"/>
    <x v="3"/>
    <n v="11"/>
  </r>
  <r>
    <x v="1"/>
    <x v="2"/>
    <x v="4"/>
    <n v="59"/>
  </r>
  <r>
    <x v="1"/>
    <x v="2"/>
    <x v="5"/>
    <n v="1"/>
  </r>
  <r>
    <x v="1"/>
    <x v="3"/>
    <x v="3"/>
    <n v="24"/>
  </r>
  <r>
    <x v="1"/>
    <x v="3"/>
    <x v="4"/>
    <n v="30"/>
  </r>
  <r>
    <x v="1"/>
    <x v="3"/>
    <x v="5"/>
    <n v="10"/>
  </r>
  <r>
    <x v="2"/>
    <x v="0"/>
    <x v="0"/>
    <n v="509"/>
  </r>
  <r>
    <x v="2"/>
    <x v="0"/>
    <x v="1"/>
    <n v="23"/>
  </r>
  <r>
    <x v="2"/>
    <x v="1"/>
    <x v="2"/>
    <n v="28"/>
  </r>
  <r>
    <x v="2"/>
    <x v="1"/>
    <x v="1"/>
    <n v="198"/>
  </r>
  <r>
    <x v="2"/>
    <x v="1"/>
    <x v="3"/>
    <n v="165"/>
  </r>
  <r>
    <x v="2"/>
    <x v="1"/>
    <x v="4"/>
    <n v="431"/>
  </r>
  <r>
    <x v="2"/>
    <x v="1"/>
    <x v="5"/>
    <n v="42"/>
  </r>
  <r>
    <x v="2"/>
    <x v="2"/>
    <x v="2"/>
    <n v="4"/>
  </r>
  <r>
    <x v="2"/>
    <x v="2"/>
    <x v="3"/>
    <n v="16"/>
  </r>
  <r>
    <x v="2"/>
    <x v="2"/>
    <x v="4"/>
    <n v="69"/>
  </r>
  <r>
    <x v="2"/>
    <x v="2"/>
    <x v="5"/>
    <n v="1"/>
  </r>
  <r>
    <x v="2"/>
    <x v="3"/>
    <x v="3"/>
    <n v="22"/>
  </r>
  <r>
    <x v="2"/>
    <x v="3"/>
    <x v="4"/>
    <n v="33"/>
  </r>
  <r>
    <x v="2"/>
    <x v="3"/>
    <x v="5"/>
    <n v="10"/>
  </r>
</pivotCacheRecords>
</file>

<file path=xl/pivotCache/pivotCacheRecords22.xml><?xml version="1.0" encoding="utf-8"?>
<pivotCacheRecords xmlns="http://schemas.openxmlformats.org/spreadsheetml/2006/main" xmlns:r="http://schemas.openxmlformats.org/officeDocument/2006/relationships" count="59">
  <r>
    <x v="0"/>
    <x v="0"/>
    <x v="0"/>
    <n v="787"/>
  </r>
  <r>
    <x v="0"/>
    <x v="1"/>
    <x v="1"/>
    <n v="26"/>
  </r>
  <r>
    <x v="0"/>
    <x v="1"/>
    <x v="2"/>
    <n v="26"/>
  </r>
  <r>
    <x v="0"/>
    <x v="1"/>
    <x v="3"/>
    <n v="68"/>
  </r>
  <r>
    <x v="0"/>
    <x v="1"/>
    <x v="4"/>
    <n v="17"/>
  </r>
  <r>
    <x v="0"/>
    <x v="1"/>
    <x v="5"/>
    <n v="418"/>
  </r>
  <r>
    <x v="0"/>
    <x v="1"/>
    <x v="6"/>
    <n v="43"/>
  </r>
  <r>
    <x v="0"/>
    <x v="1"/>
    <x v="7"/>
    <n v="34"/>
  </r>
  <r>
    <x v="0"/>
    <x v="2"/>
    <x v="1"/>
    <n v="2"/>
  </r>
  <r>
    <x v="0"/>
    <x v="2"/>
    <x v="2"/>
    <n v="3"/>
  </r>
  <r>
    <x v="0"/>
    <x v="2"/>
    <x v="3"/>
    <n v="5"/>
  </r>
  <r>
    <x v="0"/>
    <x v="2"/>
    <x v="5"/>
    <n v="51"/>
  </r>
  <r>
    <x v="0"/>
    <x v="2"/>
    <x v="6"/>
    <n v="2"/>
  </r>
  <r>
    <x v="0"/>
    <x v="2"/>
    <x v="7"/>
    <n v="2"/>
  </r>
  <r>
    <x v="0"/>
    <x v="3"/>
    <x v="2"/>
    <n v="8"/>
  </r>
  <r>
    <x v="0"/>
    <x v="3"/>
    <x v="3"/>
    <n v="10"/>
  </r>
  <r>
    <x v="0"/>
    <x v="3"/>
    <x v="5"/>
    <n v="36"/>
  </r>
  <r>
    <x v="0"/>
    <x v="3"/>
    <x v="6"/>
    <n v="8"/>
  </r>
  <r>
    <x v="1"/>
    <x v="0"/>
    <x v="0"/>
    <n v="735"/>
  </r>
  <r>
    <x v="1"/>
    <x v="1"/>
    <x v="1"/>
    <n v="25"/>
  </r>
  <r>
    <x v="1"/>
    <x v="1"/>
    <x v="2"/>
    <n v="27"/>
  </r>
  <r>
    <x v="1"/>
    <x v="1"/>
    <x v="3"/>
    <n v="59"/>
  </r>
  <r>
    <x v="1"/>
    <x v="1"/>
    <x v="4"/>
    <n v="20"/>
  </r>
  <r>
    <x v="1"/>
    <x v="1"/>
    <x v="5"/>
    <n v="417"/>
  </r>
  <r>
    <x v="1"/>
    <x v="1"/>
    <x v="6"/>
    <n v="43"/>
  </r>
  <r>
    <x v="1"/>
    <x v="1"/>
    <x v="7"/>
    <n v="41"/>
  </r>
  <r>
    <x v="1"/>
    <x v="2"/>
    <x v="1"/>
    <n v="3"/>
  </r>
  <r>
    <x v="1"/>
    <x v="2"/>
    <x v="2"/>
    <n v="3"/>
  </r>
  <r>
    <x v="1"/>
    <x v="2"/>
    <x v="3"/>
    <n v="5"/>
  </r>
  <r>
    <x v="1"/>
    <x v="2"/>
    <x v="5"/>
    <n v="59"/>
  </r>
  <r>
    <x v="1"/>
    <x v="2"/>
    <x v="6"/>
    <n v="1"/>
  </r>
  <r>
    <x v="1"/>
    <x v="2"/>
    <x v="7"/>
    <n v="3"/>
  </r>
  <r>
    <x v="1"/>
    <x v="3"/>
    <x v="2"/>
    <n v="8"/>
  </r>
  <r>
    <x v="1"/>
    <x v="3"/>
    <x v="3"/>
    <n v="14"/>
  </r>
  <r>
    <x v="1"/>
    <x v="3"/>
    <x v="4"/>
    <n v="1"/>
  </r>
  <r>
    <x v="1"/>
    <x v="3"/>
    <x v="5"/>
    <n v="30"/>
  </r>
  <r>
    <x v="1"/>
    <x v="3"/>
    <x v="6"/>
    <n v="10"/>
  </r>
  <r>
    <x v="1"/>
    <x v="3"/>
    <x v="7"/>
    <n v="1"/>
  </r>
  <r>
    <x v="2"/>
    <x v="0"/>
    <x v="0"/>
    <n v="729"/>
  </r>
  <r>
    <x v="2"/>
    <x v="1"/>
    <x v="1"/>
    <n v="28"/>
  </r>
  <r>
    <x v="2"/>
    <x v="1"/>
    <x v="2"/>
    <n v="39"/>
  </r>
  <r>
    <x v="2"/>
    <x v="1"/>
    <x v="3"/>
    <n v="62"/>
  </r>
  <r>
    <x v="2"/>
    <x v="1"/>
    <x v="4"/>
    <n v="25"/>
  </r>
  <r>
    <x v="2"/>
    <x v="1"/>
    <x v="5"/>
    <n v="431"/>
  </r>
  <r>
    <x v="2"/>
    <x v="1"/>
    <x v="6"/>
    <n v="42"/>
  </r>
  <r>
    <x v="2"/>
    <x v="1"/>
    <x v="7"/>
    <n v="39"/>
  </r>
  <r>
    <x v="2"/>
    <x v="2"/>
    <x v="1"/>
    <n v="4"/>
  </r>
  <r>
    <x v="2"/>
    <x v="2"/>
    <x v="2"/>
    <n v="4"/>
  </r>
  <r>
    <x v="2"/>
    <x v="2"/>
    <x v="3"/>
    <n v="7"/>
  </r>
  <r>
    <x v="2"/>
    <x v="2"/>
    <x v="4"/>
    <n v="1"/>
  </r>
  <r>
    <x v="2"/>
    <x v="2"/>
    <x v="5"/>
    <n v="69"/>
  </r>
  <r>
    <x v="2"/>
    <x v="2"/>
    <x v="6"/>
    <n v="1"/>
  </r>
  <r>
    <x v="2"/>
    <x v="2"/>
    <x v="7"/>
    <n v="4"/>
  </r>
  <r>
    <x v="2"/>
    <x v="3"/>
    <x v="2"/>
    <n v="8"/>
  </r>
  <r>
    <x v="2"/>
    <x v="3"/>
    <x v="3"/>
    <n v="12"/>
  </r>
  <r>
    <x v="2"/>
    <x v="3"/>
    <x v="4"/>
    <n v="1"/>
  </r>
  <r>
    <x v="2"/>
    <x v="3"/>
    <x v="5"/>
    <n v="33"/>
  </r>
  <r>
    <x v="2"/>
    <x v="3"/>
    <x v="6"/>
    <n v="10"/>
  </r>
  <r>
    <x v="2"/>
    <x v="3"/>
    <x v="7"/>
    <n v="1"/>
  </r>
</pivotCacheRecords>
</file>

<file path=xl/pivotCache/pivotCacheRecords23.xml><?xml version="1.0" encoding="utf-8"?>
<pivotCacheRecords xmlns="http://schemas.openxmlformats.org/spreadsheetml/2006/main" xmlns:r="http://schemas.openxmlformats.org/officeDocument/2006/relationships" count="192">
  <r>
    <x v="0"/>
    <x v="0"/>
    <s v="S12000045"/>
    <n v="554"/>
    <n v="307"/>
    <n v="861"/>
    <n v="966"/>
    <n v="757"/>
    <n v="209"/>
    <n v="44864"/>
    <n v="1.919"/>
    <n v="2.153"/>
    <n v="44102"/>
    <n v="1.952"/>
    <n v="2.19"/>
  </r>
  <r>
    <x v="0"/>
    <x v="1"/>
    <s v="S12000027"/>
    <n v="73"/>
    <n v="218"/>
    <n v="291"/>
    <n v="125"/>
    <n v="69"/>
    <n v="56"/>
    <n v="10852"/>
    <n v="2.6819999999999999"/>
    <n v="1.1519999999999999"/>
    <n v="10135"/>
    <n v="2.871"/>
    <n v="1.2330000000000001"/>
  </r>
  <r>
    <x v="1"/>
    <x v="0"/>
    <s v="S12000045"/>
    <n v="562"/>
    <n v="539"/>
    <n v="1101"/>
    <n v="948"/>
    <n v="734"/>
    <n v="214"/>
    <n v="45281"/>
    <n v="2.431"/>
    <n v="2.0939999999999999"/>
    <n v="44504"/>
    <n v="2.4740000000000002"/>
    <n v="2.13"/>
  </r>
  <r>
    <x v="1"/>
    <x v="2"/>
    <s v="S12000044"/>
    <n v="1427"/>
    <n v="2067"/>
    <n v="3494"/>
    <n v="2428"/>
    <n v="1929"/>
    <n v="499"/>
    <n v="151424"/>
    <n v="2.3069999999999999"/>
    <n v="1.603"/>
    <n v="148610"/>
    <n v="2.351"/>
    <n v="1.6339999999999999"/>
  </r>
  <r>
    <x v="2"/>
    <x v="3"/>
    <s v="S12000033"/>
    <n v="572"/>
    <n v="2074"/>
    <n v="2646"/>
    <n v="819"/>
    <n v="538"/>
    <n v="281"/>
    <n v="114234"/>
    <n v="2.3159999999999998"/>
    <n v="0.71699999999999997"/>
    <n v="105311"/>
    <n v="2.5129999999999999"/>
    <n v="0.77800000000000002"/>
  </r>
  <r>
    <x v="2"/>
    <x v="4"/>
    <s v="S12000034"/>
    <n v="683"/>
    <n v="1249"/>
    <n v="1932"/>
    <n v="1079"/>
    <n v="648"/>
    <n v="431"/>
    <n v="115223"/>
    <n v="1.677"/>
    <n v="0.93600000000000005"/>
    <n v="109631"/>
    <n v="1.762"/>
    <n v="0.98399999999999999"/>
  </r>
  <r>
    <x v="2"/>
    <x v="5"/>
    <s v="S12000035"/>
    <n v="667"/>
    <n v="980"/>
    <n v="1647"/>
    <n v="1074"/>
    <n v="562"/>
    <n v="512"/>
    <n v="47712"/>
    <n v="3.452"/>
    <n v="2.2509999999999999"/>
    <n v="40938"/>
    <n v="4.0229999999999997"/>
    <n v="2.6230000000000002"/>
  </r>
  <r>
    <x v="2"/>
    <x v="6"/>
    <s v="S12000008"/>
    <n v="509"/>
    <n v="829"/>
    <n v="1338"/>
    <n v="863"/>
    <n v="543"/>
    <n v="320"/>
    <n v="57654"/>
    <n v="2.3210000000000002"/>
    <n v="1.4970000000000001"/>
    <n v="54570"/>
    <n v="2.452"/>
    <n v="1.581"/>
  </r>
  <r>
    <x v="2"/>
    <x v="7"/>
    <s v="S12000028"/>
    <n v="657"/>
    <n v="731"/>
    <n v="1388"/>
    <n v="1068"/>
    <n v="688"/>
    <n v="380"/>
    <n v="54635"/>
    <n v="2.54"/>
    <n v="1.9550000000000001"/>
    <n v="51912"/>
    <n v="2.6739999999999999"/>
    <n v="2.0569999999999999"/>
  </r>
  <r>
    <x v="2"/>
    <x v="8"/>
    <s v="S12000039"/>
    <n v="470"/>
    <n v="934"/>
    <n v="1404"/>
    <n v="740"/>
    <n v="586"/>
    <n v="154"/>
    <n v="45056"/>
    <n v="3.1160000000000001"/>
    <n v="1.6419999999999999"/>
    <n v="42571"/>
    <n v="3.298"/>
    <n v="1.738"/>
  </r>
  <r>
    <x v="3"/>
    <x v="9"/>
    <s v="S12000036"/>
    <n v="2671"/>
    <n v="2368"/>
    <n v="5039"/>
    <n v="3710"/>
    <n v="2446"/>
    <n v="1264"/>
    <n v="244131"/>
    <n v="2.0640000000000001"/>
    <n v="1.52"/>
    <n v="231383"/>
    <n v="2.1779999999999999"/>
    <n v="1.603"/>
  </r>
  <r>
    <x v="3"/>
    <x v="10"/>
    <s v="S12000011"/>
    <n v="644"/>
    <n v="916"/>
    <n v="1560"/>
    <n v="960"/>
    <n v="686"/>
    <n v="274"/>
    <n v="38389"/>
    <n v="4.0640000000000001"/>
    <n v="2.5009999999999999"/>
    <n v="38581"/>
    <n v="4.0430000000000001"/>
    <n v="2.488"/>
  </r>
  <r>
    <x v="3"/>
    <x v="11"/>
    <s v="S12000023"/>
    <n v="116"/>
    <n v="272"/>
    <n v="388"/>
    <n v="180"/>
    <n v="90"/>
    <n v="90"/>
    <n v="11063"/>
    <n v="3.5070000000000001"/>
    <n v="1.627"/>
    <n v="10256"/>
    <n v="3.7829999999999999"/>
    <n v="1.7549999999999999"/>
  </r>
  <r>
    <x v="3"/>
    <x v="12"/>
    <s v="S12000029"/>
    <n v="1304"/>
    <n v="2091"/>
    <n v="3395"/>
    <n v="2109"/>
    <n v="1516"/>
    <n v="593"/>
    <n v="148771"/>
    <n v="2.282"/>
    <n v="1.4179999999999999"/>
    <n v="144148"/>
    <n v="2.355"/>
    <n v="1.4630000000000001"/>
  </r>
  <r>
    <x v="4"/>
    <x v="13"/>
    <s v="S12000010"/>
    <n v="540"/>
    <n v="494"/>
    <n v="1034"/>
    <n v="883"/>
    <n v="544"/>
    <n v="339"/>
    <n v="47407"/>
    <n v="2.181"/>
    <n v="1.863"/>
    <n v="45301"/>
    <n v="2.2829999999999999"/>
    <n v="1.9490000000000001"/>
  </r>
  <r>
    <x v="5"/>
    <x v="4"/>
    <s v="S12000034"/>
    <n v="564"/>
    <n v="1206"/>
    <n v="1770"/>
    <n v="954"/>
    <n v="618"/>
    <n v="336"/>
    <n v="118197"/>
    <n v="1.4970000000000001"/>
    <n v="0.80700000000000005"/>
    <n v="111156"/>
    <n v="1.5920000000000001"/>
    <n v="0.85799999999999998"/>
  </r>
  <r>
    <x v="5"/>
    <x v="14"/>
    <s v="S12000041"/>
    <n v="429"/>
    <n v="1339"/>
    <n v="1768"/>
    <n v="627"/>
    <n v="450"/>
    <n v="177"/>
    <n v="56485"/>
    <n v="3.13"/>
    <n v="1.1100000000000001"/>
    <n v="53888"/>
    <n v="3.2810000000000001"/>
    <n v="1.1639999999999999"/>
  </r>
  <r>
    <x v="5"/>
    <x v="15"/>
    <s v="S12000042"/>
    <n v="692"/>
    <n v="2702"/>
    <n v="3394"/>
    <n v="998"/>
    <n v="680"/>
    <n v="318"/>
    <n v="74531"/>
    <n v="4.5540000000000003"/>
    <n v="1.339"/>
    <n v="70337"/>
    <n v="4.8250000000000002"/>
    <n v="1.419"/>
  </r>
  <r>
    <x v="5"/>
    <x v="6"/>
    <s v="S12000008"/>
    <n v="421"/>
    <n v="656"/>
    <n v="1077"/>
    <n v="697"/>
    <n v="446"/>
    <n v="251"/>
    <n v="58453"/>
    <n v="1.843"/>
    <n v="1.1919999999999999"/>
    <n v="55107"/>
    <n v="1.954"/>
    <n v="1.2649999999999999"/>
  </r>
  <r>
    <x v="5"/>
    <x v="10"/>
    <s v="S12000011"/>
    <n v="445"/>
    <n v="651"/>
    <n v="1096"/>
    <n v="686"/>
    <n v="492"/>
    <n v="194"/>
    <n v="38902"/>
    <n v="2.8170000000000002"/>
    <n v="1.7629999999999999"/>
    <n v="39108"/>
    <n v="2.802"/>
    <n v="1.754"/>
  </r>
  <r>
    <x v="5"/>
    <x v="11"/>
    <s v="S12000023"/>
    <n v="96"/>
    <n v="194"/>
    <n v="290"/>
    <n v="167"/>
    <n v="82"/>
    <n v="85"/>
    <n v="11261"/>
    <n v="2.5750000000000002"/>
    <n v="1.4830000000000001"/>
    <n v="10506"/>
    <n v="2.76"/>
    <n v="1.59"/>
  </r>
  <r>
    <x v="0"/>
    <x v="3"/>
    <s v="S12000033"/>
    <n v="492"/>
    <n v="1898"/>
    <n v="2390"/>
    <n v="664"/>
    <n v="419"/>
    <n v="245"/>
    <n v="112713"/>
    <n v="2.12"/>
    <n v="0.58899999999999997"/>
    <n v="105047"/>
    <n v="2.2749999999999999"/>
    <n v="0.63200000000000001"/>
  </r>
  <r>
    <x v="0"/>
    <x v="6"/>
    <s v="S12000008"/>
    <n v="584"/>
    <n v="1242"/>
    <n v="1826"/>
    <n v="967"/>
    <n v="664"/>
    <n v="303"/>
    <n v="57172"/>
    <n v="3.194"/>
    <n v="1.6910000000000001"/>
    <n v="54453"/>
    <n v="3.3530000000000002"/>
    <n v="1.776"/>
  </r>
  <r>
    <x v="0"/>
    <x v="10"/>
    <s v="S12000011"/>
    <n v="492"/>
    <n v="448"/>
    <n v="940"/>
    <n v="801"/>
    <n v="603"/>
    <n v="198"/>
    <n v="37639"/>
    <n v="2.4969999999999999"/>
    <n v="2.1280000000000001"/>
    <n v="37804"/>
    <n v="2.4870000000000001"/>
    <n v="2.1190000000000002"/>
  </r>
  <r>
    <x v="0"/>
    <x v="16"/>
    <s v="S12000021"/>
    <n v="958"/>
    <n v="660"/>
    <n v="1618"/>
    <n v="1633"/>
    <n v="972"/>
    <n v="661"/>
    <n v="67082"/>
    <n v="2.4119999999999999"/>
    <n v="2.4340000000000002"/>
    <n v="62613"/>
    <n v="2.5840000000000001"/>
    <n v="2.6080000000000001"/>
  </r>
  <r>
    <x v="1"/>
    <x v="17"/>
    <s v="S12000005"/>
    <n v="273"/>
    <n v="511"/>
    <n v="784"/>
    <n v="401"/>
    <n v="314"/>
    <n v="87"/>
    <n v="23995"/>
    <n v="3.2669999999999999"/>
    <n v="1.671"/>
    <n v="23217"/>
    <n v="3.3769999999999998"/>
    <n v="1.7270000000000001"/>
  </r>
  <r>
    <x v="1"/>
    <x v="10"/>
    <s v="S12000011"/>
    <n v="546"/>
    <n v="689"/>
    <n v="1235"/>
    <n v="816"/>
    <n v="549"/>
    <n v="267"/>
    <n v="37852"/>
    <n v="3.2629999999999999"/>
    <n v="2.1560000000000001"/>
    <n v="38048"/>
    <n v="3.246"/>
    <n v="2.145"/>
  </r>
  <r>
    <x v="1"/>
    <x v="18"/>
    <s v="S12000013"/>
    <n v="93"/>
    <n v="199"/>
    <n v="292"/>
    <n v="146"/>
    <n v="116"/>
    <n v="30"/>
    <n v="14520"/>
    <n v="2.0110000000000001"/>
    <n v="1.006"/>
    <n v="12920"/>
    <n v="2.2599999999999998"/>
    <n v="1.1299999999999999"/>
  </r>
  <r>
    <x v="2"/>
    <x v="19"/>
    <s v="S12000017"/>
    <n v="1073"/>
    <n v="2605"/>
    <n v="3678"/>
    <n v="1751"/>
    <n v="1225"/>
    <n v="526"/>
    <n v="115538"/>
    <n v="3.1829999999999998"/>
    <n v="1.516"/>
    <n v="106834"/>
    <n v="3.4430000000000001"/>
    <n v="1.639"/>
  </r>
  <r>
    <x v="3"/>
    <x v="14"/>
    <s v="S12000041"/>
    <n v="499"/>
    <n v="1528"/>
    <n v="2027"/>
    <n v="727"/>
    <n v="450"/>
    <n v="277"/>
    <n v="55872"/>
    <n v="3.6280000000000001"/>
    <n v="1.3009999999999999"/>
    <n v="53333"/>
    <n v="3.8010000000000002"/>
    <n v="1.363"/>
  </r>
  <r>
    <x v="3"/>
    <x v="20"/>
    <s v="S12000038"/>
    <n v="1030"/>
    <n v="1105"/>
    <n v="2135"/>
    <n v="1579"/>
    <n v="905"/>
    <n v="674"/>
    <n v="85724"/>
    <n v="2.4910000000000001"/>
    <n v="1.8420000000000001"/>
    <n v="84025"/>
    <n v="2.5409999999999999"/>
    <n v="1.879"/>
  </r>
  <r>
    <x v="4"/>
    <x v="9"/>
    <s v="S12000036"/>
    <n v="2302"/>
    <n v="2298"/>
    <n v="4600"/>
    <n v="3197"/>
    <n v="2309"/>
    <n v="888"/>
    <n v="246818"/>
    <n v="1.8640000000000001"/>
    <n v="1.2949999999999999"/>
    <n v="233369"/>
    <n v="1.9710000000000001"/>
    <n v="1.37"/>
  </r>
  <r>
    <x v="4"/>
    <x v="21"/>
    <s v="S12000015"/>
    <n v="3137"/>
    <n v="3403"/>
    <n v="6540"/>
    <n v="4947"/>
    <n v="3292"/>
    <n v="1655"/>
    <n v="175915"/>
    <n v="3.718"/>
    <n v="2.8119999999999998"/>
    <n v="166960"/>
    <n v="3.9169999999999998"/>
    <n v="2.9630000000000001"/>
  </r>
  <r>
    <x v="4"/>
    <x v="11"/>
    <s v="S12000023"/>
    <n v="126"/>
    <n v="250"/>
    <n v="376"/>
    <n v="193"/>
    <n v="88"/>
    <n v="105"/>
    <n v="11192"/>
    <n v="3.36"/>
    <n v="1.724"/>
    <n v="10385"/>
    <n v="3.621"/>
    <n v="1.8580000000000001"/>
  </r>
  <r>
    <x v="4"/>
    <x v="20"/>
    <s v="S12000038"/>
    <n v="1137"/>
    <n v="1411"/>
    <n v="2548"/>
    <n v="1733"/>
    <n v="1077"/>
    <n v="656"/>
    <n v="86449"/>
    <n v="2.9470000000000001"/>
    <n v="2.0049999999999999"/>
    <n v="84938"/>
    <n v="3"/>
    <n v="2.04"/>
  </r>
  <r>
    <x v="5"/>
    <x v="13"/>
    <s v="S12000010"/>
    <n v="440"/>
    <n v="523"/>
    <n v="963"/>
    <n v="723"/>
    <n v="530"/>
    <n v="193"/>
    <n v="48055"/>
    <n v="2.004"/>
    <n v="1.5049999999999999"/>
    <n v="45975"/>
    <n v="2.0950000000000002"/>
    <n v="1.573"/>
  </r>
  <r>
    <x v="5"/>
    <x v="19"/>
    <s v="S12000017"/>
    <n v="812"/>
    <n v="2969"/>
    <n v="3781"/>
    <n v="1353"/>
    <n v="816"/>
    <n v="537"/>
    <n v="118117"/>
    <n v="3.2010000000000001"/>
    <n v="1.145"/>
    <n v="108878"/>
    <n v="3.4729999999999999"/>
    <n v="1.2430000000000001"/>
  </r>
  <r>
    <x v="5"/>
    <x v="22"/>
    <s v="S12000024"/>
    <n v="385"/>
    <n v="1083"/>
    <n v="1468"/>
    <n v="606"/>
    <n v="357"/>
    <n v="249"/>
    <n v="72441"/>
    <n v="2.0259999999999998"/>
    <n v="0.83699999999999997"/>
    <n v="68196"/>
    <n v="2.153"/>
    <n v="0.88900000000000001"/>
  </r>
  <r>
    <x v="0"/>
    <x v="5"/>
    <s v="S12000035"/>
    <n v="529"/>
    <n v="457"/>
    <n v="986"/>
    <n v="964"/>
    <n v="539"/>
    <n v="425"/>
    <n v="47336"/>
    <n v="2.0830000000000002"/>
    <n v="2.0369999999999999"/>
    <n v="40934"/>
    <n v="2.4089999999999998"/>
    <n v="2.355"/>
  </r>
  <r>
    <x v="0"/>
    <x v="9"/>
    <s v="S12000036"/>
    <n v="2962"/>
    <n v="2361"/>
    <n v="5323"/>
    <n v="4061"/>
    <n v="2668"/>
    <n v="1393"/>
    <n v="237524"/>
    <n v="2.2410000000000001"/>
    <n v="1.71"/>
    <n v="227222"/>
    <n v="2.343"/>
    <n v="1.7869999999999999"/>
  </r>
  <r>
    <x v="0"/>
    <x v="21"/>
    <s v="S12000015"/>
    <n v="3531"/>
    <n v="3068"/>
    <n v="6599"/>
    <n v="5634"/>
    <n v="3943"/>
    <n v="1691"/>
    <n v="171560"/>
    <n v="3.8460000000000001"/>
    <n v="3.2839999999999998"/>
    <n v="162200"/>
    <n v="4.0679999999999996"/>
    <n v="3.4729999999999999"/>
  </r>
  <r>
    <x v="0"/>
    <x v="18"/>
    <s v="S12000013"/>
    <n v="123"/>
    <n v="226"/>
    <n v="349"/>
    <n v="196"/>
    <n v="181"/>
    <n v="15"/>
    <n v="14490"/>
    <n v="2.4089999999999998"/>
    <n v="1.353"/>
    <n v="12924"/>
    <n v="2.7"/>
    <n v="1.5169999999999999"/>
  </r>
  <r>
    <x v="0"/>
    <x v="2"/>
    <s v="S12000044"/>
    <n v="1381"/>
    <n v="1452"/>
    <n v="2833"/>
    <n v="2357"/>
    <n v="1819"/>
    <n v="538"/>
    <n v="150541"/>
    <n v="1.8819999999999999"/>
    <n v="1.5660000000000001"/>
    <n v="147554"/>
    <n v="1.92"/>
    <n v="1.597"/>
  </r>
  <r>
    <x v="0"/>
    <x v="11"/>
    <s v="S12000023"/>
    <n v="115"/>
    <n v="150"/>
    <n v="265"/>
    <n v="247"/>
    <n v="183"/>
    <n v="64"/>
    <n v="10717"/>
    <n v="2.4729999999999999"/>
    <n v="2.3050000000000002"/>
    <n v="9945"/>
    <n v="2.665"/>
    <n v="2.484"/>
  </r>
  <r>
    <x v="1"/>
    <x v="11"/>
    <s v="S12000023"/>
    <n v="87"/>
    <n v="161"/>
    <n v="248"/>
    <n v="145"/>
    <n v="64"/>
    <n v="81"/>
    <n v="10816"/>
    <n v="2.2930000000000001"/>
    <n v="1.341"/>
    <n v="10042"/>
    <n v="2.4700000000000002"/>
    <n v="1.444"/>
  </r>
  <r>
    <x v="2"/>
    <x v="14"/>
    <s v="S12000041"/>
    <n v="485"/>
    <n v="1685"/>
    <n v="2170"/>
    <n v="724"/>
    <n v="462"/>
    <n v="262"/>
    <n v="55619"/>
    <n v="3.9020000000000001"/>
    <n v="1.302"/>
    <n v="53142"/>
    <n v="4.0830000000000002"/>
    <n v="1.3620000000000001"/>
  </r>
  <r>
    <x v="2"/>
    <x v="23"/>
    <s v="S12000006"/>
    <n v="1086"/>
    <n v="1068"/>
    <n v="2154"/>
    <n v="1481"/>
    <n v="923"/>
    <n v="558"/>
    <n v="74190"/>
    <n v="2.903"/>
    <n v="1.996"/>
    <n v="68999"/>
    <n v="3.1219999999999999"/>
    <n v="2.1459999999999999"/>
  </r>
  <r>
    <x v="2"/>
    <x v="24"/>
    <s v="S12000030"/>
    <n v="358"/>
    <n v="653"/>
    <n v="1011"/>
    <n v="565"/>
    <n v="384"/>
    <n v="181"/>
    <n v="40646"/>
    <n v="2.4870000000000001"/>
    <n v="1.39"/>
    <n v="38665"/>
    <n v="2.6150000000000002"/>
    <n v="1.4610000000000001"/>
  </r>
  <r>
    <x v="3"/>
    <x v="15"/>
    <s v="S12000042"/>
    <n v="870"/>
    <n v="3054"/>
    <n v="3924"/>
    <n v="1200"/>
    <n v="823"/>
    <n v="377"/>
    <n v="74026"/>
    <n v="5.3010000000000002"/>
    <n v="1.621"/>
    <n v="69635"/>
    <n v="5.6349999999999998"/>
    <n v="1.7230000000000001"/>
  </r>
  <r>
    <x v="3"/>
    <x v="6"/>
    <s v="S12000008"/>
    <n v="576"/>
    <n v="682"/>
    <n v="1258"/>
    <n v="954"/>
    <n v="586"/>
    <n v="368"/>
    <n v="57873"/>
    <n v="2.1739999999999999"/>
    <n v="1.6479999999999999"/>
    <n v="54748"/>
    <n v="2.298"/>
    <n v="1.7430000000000001"/>
  </r>
  <r>
    <x v="3"/>
    <x v="13"/>
    <s v="S12000010"/>
    <n v="596"/>
    <n v="578"/>
    <n v="1174"/>
    <n v="972"/>
    <n v="608"/>
    <n v="364"/>
    <n v="46672"/>
    <n v="2.5150000000000001"/>
    <n v="2.0830000000000002"/>
    <n v="44749"/>
    <n v="2.6240000000000001"/>
    <n v="2.1720000000000002"/>
  </r>
  <r>
    <x v="3"/>
    <x v="25"/>
    <s v="S12000019"/>
    <n v="528"/>
    <n v="438"/>
    <n v="966"/>
    <n v="840"/>
    <n v="416"/>
    <n v="424"/>
    <n v="39297"/>
    <n v="2.4580000000000002"/>
    <n v="2.1379999999999999"/>
    <n v="37766"/>
    <n v="2.5579999999999998"/>
    <n v="2.2240000000000002"/>
  </r>
  <r>
    <x v="3"/>
    <x v="16"/>
    <s v="S12000021"/>
    <n v="905"/>
    <n v="1053"/>
    <n v="1958"/>
    <n v="1406"/>
    <n v="831"/>
    <n v="575"/>
    <n v="67800"/>
    <n v="2.8879999999999999"/>
    <n v="2.0739999999999998"/>
    <n v="63440"/>
    <n v="3.0859999999999999"/>
    <n v="2.2160000000000002"/>
  </r>
  <r>
    <x v="3"/>
    <x v="22"/>
    <s v="S12000024"/>
    <n v="466"/>
    <n v="1497"/>
    <n v="1963"/>
    <n v="660"/>
    <n v="375"/>
    <n v="285"/>
    <n v="71347"/>
    <n v="2.7509999999999999"/>
    <n v="0.92500000000000004"/>
    <n v="67101"/>
    <n v="2.9249999999999998"/>
    <n v="0.98399999999999999"/>
  </r>
  <r>
    <x v="4"/>
    <x v="6"/>
    <s v="S12000008"/>
    <n v="485"/>
    <n v="664"/>
    <n v="1149"/>
    <n v="814"/>
    <n v="538"/>
    <n v="276"/>
    <n v="58158"/>
    <n v="1.976"/>
    <n v="1.4"/>
    <n v="54873"/>
    <n v="2.0939999999999999"/>
    <n v="1.4830000000000001"/>
  </r>
  <r>
    <x v="4"/>
    <x v="10"/>
    <s v="S12000011"/>
    <n v="604"/>
    <n v="662"/>
    <n v="1266"/>
    <n v="894"/>
    <n v="700"/>
    <n v="194"/>
    <n v="38677"/>
    <n v="3.2730000000000001"/>
    <n v="2.3109999999999999"/>
    <n v="38899"/>
    <n v="3.2549999999999999"/>
    <n v="2.298"/>
  </r>
  <r>
    <x v="4"/>
    <x v="25"/>
    <s v="S12000019"/>
    <n v="489"/>
    <n v="509"/>
    <n v="998"/>
    <n v="797"/>
    <n v="349"/>
    <n v="448"/>
    <n v="39937"/>
    <n v="2.4990000000000001"/>
    <n v="1.996"/>
    <n v="38557"/>
    <n v="2.5880000000000001"/>
    <n v="2.0670000000000002"/>
  </r>
  <r>
    <x v="4"/>
    <x v="26"/>
    <s v="S12000020"/>
    <n v="609"/>
    <n v="826"/>
    <n v="1435"/>
    <n v="1076"/>
    <n v="554"/>
    <n v="522"/>
    <n v="44838"/>
    <n v="3.2"/>
    <n v="2.4"/>
    <n v="42269"/>
    <n v="3.395"/>
    <n v="2.5459999999999998"/>
  </r>
  <r>
    <x v="4"/>
    <x v="16"/>
    <s v="S12000021"/>
    <n v="805"/>
    <n v="932"/>
    <n v="1737"/>
    <n v="1279"/>
    <n v="822"/>
    <n v="457"/>
    <n v="67960"/>
    <n v="2.556"/>
    <n v="1.8819999999999999"/>
    <n v="63756"/>
    <n v="2.7240000000000002"/>
    <n v="2.0059999999999998"/>
  </r>
  <r>
    <x v="5"/>
    <x v="8"/>
    <s v="S12000039"/>
    <n v="556"/>
    <n v="1008"/>
    <n v="1564"/>
    <n v="827"/>
    <n v="642"/>
    <n v="185"/>
    <n v="45228"/>
    <n v="3.4580000000000002"/>
    <n v="1.829"/>
    <n v="42868"/>
    <n v="3.6480000000000001"/>
    <n v="1.929"/>
  </r>
  <r>
    <x v="5"/>
    <x v="27"/>
    <s v="S12000040"/>
    <n v="851"/>
    <n v="1470"/>
    <n v="2321"/>
    <n v="1286"/>
    <n v="780"/>
    <n v="506"/>
    <n v="79854"/>
    <n v="2.907"/>
    <n v="1.61"/>
    <n v="77953"/>
    <n v="2.9769999999999999"/>
    <n v="1.65"/>
  </r>
  <r>
    <x v="0"/>
    <x v="14"/>
    <s v="S12000041"/>
    <n v="829"/>
    <n v="2850"/>
    <n v="3679"/>
    <n v="1227"/>
    <n v="723"/>
    <n v="504"/>
    <n v="54872"/>
    <n v="6.7050000000000001"/>
    <n v="2.2360000000000002"/>
    <n v="52413"/>
    <n v="7.0190000000000001"/>
    <n v="2.3410000000000002"/>
  </r>
  <r>
    <x v="0"/>
    <x v="15"/>
    <s v="S12000042"/>
    <n v="1038"/>
    <n v="6335"/>
    <n v="7373"/>
    <n v="1432"/>
    <n v="936"/>
    <n v="496"/>
    <n v="73560"/>
    <n v="10.023"/>
    <n v="1.9470000000000001"/>
    <n v="69500"/>
    <n v="10.609"/>
    <n v="2.06"/>
  </r>
  <r>
    <x v="0"/>
    <x v="13"/>
    <s v="S12000010"/>
    <n v="649"/>
    <n v="366"/>
    <n v="1015"/>
    <n v="1107"/>
    <n v="611"/>
    <n v="496"/>
    <n v="45613"/>
    <n v="2.2250000000000001"/>
    <n v="2.427"/>
    <n v="43682"/>
    <n v="2.3239999999999998"/>
    <n v="2.5339999999999998"/>
  </r>
  <r>
    <x v="0"/>
    <x v="28"/>
    <s v="S12000014"/>
    <n v="552"/>
    <n v="1169"/>
    <n v="1721"/>
    <n v="800"/>
    <n v="614"/>
    <n v="186"/>
    <n v="72128"/>
    <n v="2.3860000000000001"/>
    <n v="1.109"/>
    <n v="69443"/>
    <n v="2.4780000000000002"/>
    <n v="1.1519999999999999"/>
  </r>
  <r>
    <x v="0"/>
    <x v="29"/>
    <s v="S12000046"/>
    <n v="2763"/>
    <n v="3336"/>
    <n v="6099"/>
    <n v="4140"/>
    <n v="3186"/>
    <n v="954"/>
    <n v="301633"/>
    <n v="2.0219999999999998"/>
    <n v="1.373"/>
    <n v="285346"/>
    <n v="2.137"/>
    <n v="1.4510000000000001"/>
  </r>
  <r>
    <x v="0"/>
    <x v="8"/>
    <s v="S12000039"/>
    <n v="436"/>
    <n v="496"/>
    <n v="932"/>
    <n v="668"/>
    <n v="473"/>
    <n v="195"/>
    <n v="44880"/>
    <n v="2.077"/>
    <n v="1.488"/>
    <n v="42097"/>
    <n v="2.214"/>
    <n v="1.587"/>
  </r>
  <r>
    <x v="1"/>
    <x v="14"/>
    <s v="S12000041"/>
    <n v="486"/>
    <n v="1357"/>
    <n v="1843"/>
    <n v="724"/>
    <n v="498"/>
    <n v="226"/>
    <n v="55267"/>
    <n v="3.335"/>
    <n v="1.31"/>
    <n v="52692"/>
    <n v="3.4980000000000002"/>
    <n v="1.3740000000000001"/>
  </r>
  <r>
    <x v="1"/>
    <x v="15"/>
    <s v="S12000042"/>
    <n v="698"/>
    <n v="3028"/>
    <n v="3726"/>
    <n v="985"/>
    <n v="677"/>
    <n v="308"/>
    <n v="73575"/>
    <n v="5.0640000000000001"/>
    <n v="1.339"/>
    <n v="69610"/>
    <n v="5.3529999999999998"/>
    <n v="1.415"/>
  </r>
  <r>
    <x v="1"/>
    <x v="13"/>
    <s v="S12000010"/>
    <n v="737"/>
    <n v="511"/>
    <n v="1248"/>
    <n v="1234"/>
    <n v="708"/>
    <n v="526"/>
    <n v="45968"/>
    <n v="2.7149999999999999"/>
    <n v="2.6840000000000002"/>
    <n v="43981"/>
    <n v="2.8380000000000001"/>
    <n v="2.806"/>
  </r>
  <r>
    <x v="1"/>
    <x v="28"/>
    <s v="S12000014"/>
    <n v="533"/>
    <n v="1084"/>
    <n v="1617"/>
    <n v="774"/>
    <n v="573"/>
    <n v="201"/>
    <n v="72624"/>
    <n v="2.2269999999999999"/>
    <n v="1.0660000000000001"/>
    <n v="69693"/>
    <n v="2.3199999999999998"/>
    <n v="1.111"/>
  </r>
  <r>
    <x v="2"/>
    <x v="0"/>
    <s v="S12000045"/>
    <n v="662"/>
    <n v="793"/>
    <n v="1455"/>
    <n v="1092"/>
    <n v="844"/>
    <n v="248"/>
    <n v="45678"/>
    <n v="3.1850000000000001"/>
    <n v="2.391"/>
    <n v="45008"/>
    <n v="3.2330000000000001"/>
    <n v="2.4260000000000002"/>
  </r>
  <r>
    <x v="2"/>
    <x v="18"/>
    <s v="S12000013"/>
    <n v="114"/>
    <n v="205"/>
    <n v="319"/>
    <n v="185"/>
    <n v="144"/>
    <n v="41"/>
    <n v="14577"/>
    <n v="2.1880000000000002"/>
    <n v="1.2689999999999999"/>
    <n v="12968"/>
    <n v="2.46"/>
    <n v="1.427"/>
  </r>
  <r>
    <x v="2"/>
    <x v="27"/>
    <s v="S12000040"/>
    <n v="1092"/>
    <n v="779"/>
    <n v="1871"/>
    <n v="1710"/>
    <n v="1051"/>
    <n v="659"/>
    <n v="77834"/>
    <n v="2.4039999999999999"/>
    <n v="2.1970000000000001"/>
    <n v="75782"/>
    <n v="2.4689999999999999"/>
    <n v="2.2559999999999998"/>
  </r>
  <r>
    <x v="3"/>
    <x v="30"/>
    <s v="S12000018"/>
    <n v="797"/>
    <n v="1003"/>
    <n v="1800"/>
    <n v="1188"/>
    <n v="621"/>
    <n v="567"/>
    <n v="38835"/>
    <n v="4.6349999999999998"/>
    <n v="3.0590000000000002"/>
    <n v="37586"/>
    <n v="4.7889999999999997"/>
    <n v="3.161"/>
  </r>
  <r>
    <x v="3"/>
    <x v="2"/>
    <s v="S12000044"/>
    <n v="1400"/>
    <n v="2084"/>
    <n v="3484"/>
    <n v="2270"/>
    <n v="1722"/>
    <n v="548"/>
    <n v="153388"/>
    <n v="2.2709999999999999"/>
    <n v="1.48"/>
    <n v="150364"/>
    <n v="2.3170000000000002"/>
    <n v="1.51"/>
  </r>
  <r>
    <x v="3"/>
    <x v="31"/>
    <s v="S12000026"/>
    <n v="1359"/>
    <n v="1478"/>
    <n v="2837"/>
    <n v="2120"/>
    <n v="832"/>
    <n v="1288"/>
    <n v="57940"/>
    <n v="4.8959999999999999"/>
    <n v="3.6589999999999998"/>
    <n v="53787"/>
    <n v="5.2750000000000004"/>
    <n v="3.9409999999999998"/>
  </r>
  <r>
    <x v="4"/>
    <x v="23"/>
    <s v="S12000006"/>
    <n v="1115"/>
    <n v="836"/>
    <n v="1951"/>
    <n v="1617"/>
    <n v="1083"/>
    <n v="534"/>
    <n v="74687"/>
    <n v="2.6120000000000001"/>
    <n v="2.165"/>
    <n v="69503"/>
    <n v="2.8069999999999999"/>
    <n v="2.327"/>
  </r>
  <r>
    <x v="4"/>
    <x v="30"/>
    <s v="S12000018"/>
    <n v="712"/>
    <n v="764"/>
    <n v="1476"/>
    <n v="1023"/>
    <n v="621"/>
    <n v="402"/>
    <n v="38848"/>
    <n v="3.7989999999999999"/>
    <n v="2.633"/>
    <n v="37651"/>
    <n v="3.92"/>
    <n v="2.7170000000000001"/>
  </r>
  <r>
    <x v="4"/>
    <x v="2"/>
    <s v="S12000044"/>
    <n v="1327"/>
    <n v="1990"/>
    <n v="3317"/>
    <n v="2190"/>
    <n v="1744"/>
    <n v="446"/>
    <n v="154286"/>
    <n v="2.15"/>
    <n v="1.419"/>
    <n v="151155"/>
    <n v="2.194"/>
    <n v="1.4490000000000001"/>
  </r>
  <r>
    <x v="4"/>
    <x v="31"/>
    <s v="S12000026"/>
    <n v="1122"/>
    <n v="1263"/>
    <n v="2385"/>
    <n v="1721"/>
    <n v="779"/>
    <n v="942"/>
    <n v="58167"/>
    <n v="4.0999999999999996"/>
    <n v="2.9590000000000001"/>
    <n v="54306"/>
    <n v="4.3920000000000003"/>
    <n v="3.169"/>
  </r>
  <r>
    <x v="4"/>
    <x v="24"/>
    <s v="S12000030"/>
    <n v="335"/>
    <n v="625"/>
    <n v="960"/>
    <n v="528"/>
    <n v="315"/>
    <n v="213"/>
    <n v="41250"/>
    <n v="2.327"/>
    <n v="1.28"/>
    <n v="39285"/>
    <n v="2.444"/>
    <n v="1.3440000000000001"/>
  </r>
  <r>
    <x v="5"/>
    <x v="0"/>
    <s v="S12000045"/>
    <n v="653"/>
    <n v="579"/>
    <n v="1232"/>
    <n v="1040"/>
    <n v="755"/>
    <n v="285"/>
    <n v="46721"/>
    <n v="2.637"/>
    <n v="2.226"/>
    <n v="46023"/>
    <n v="2.677"/>
    <n v="2.2599999999999998"/>
  </r>
  <r>
    <x v="5"/>
    <x v="18"/>
    <s v="S12000013"/>
    <n v="112"/>
    <n v="273"/>
    <n v="385"/>
    <n v="161"/>
    <n v="132"/>
    <n v="29"/>
    <n v="14706"/>
    <n v="2.6179999999999999"/>
    <n v="1.095"/>
    <n v="12773"/>
    <n v="3.0139999999999998"/>
    <n v="1.26"/>
  </r>
  <r>
    <x v="5"/>
    <x v="1"/>
    <s v="S12000027"/>
    <n v="87"/>
    <n v="209"/>
    <n v="296"/>
    <n v="159"/>
    <n v="85"/>
    <n v="74"/>
    <n v="11270"/>
    <n v="2.6259999999999999"/>
    <n v="1.411"/>
    <n v="10384"/>
    <n v="2.851"/>
    <n v="1.5309999999999999"/>
  </r>
  <r>
    <x v="0"/>
    <x v="26"/>
    <s v="S12000020"/>
    <n v="332"/>
    <n v="299"/>
    <n v="631"/>
    <n v="581"/>
    <n v="317"/>
    <n v="264"/>
    <n v="43495"/>
    <n v="1.4510000000000001"/>
    <n v="1.3360000000000001"/>
    <n v="40839"/>
    <n v="1.5449999999999999"/>
    <n v="1.423"/>
  </r>
  <r>
    <x v="1"/>
    <x v="21"/>
    <s v="S12000015"/>
    <n v="3404"/>
    <n v="3462"/>
    <n v="6866"/>
    <n v="5377"/>
    <n v="3640"/>
    <n v="1737"/>
    <n v="172425"/>
    <n v="3.9820000000000002"/>
    <n v="3.1179999999999999"/>
    <n v="163958"/>
    <n v="4.1879999999999997"/>
    <n v="3.2789999999999999"/>
  </r>
  <r>
    <x v="1"/>
    <x v="29"/>
    <s v="S12000046"/>
    <n v="2493"/>
    <n v="3638"/>
    <n v="6131"/>
    <n v="3703"/>
    <n v="2836"/>
    <n v="867"/>
    <n v="301891"/>
    <n v="2.0310000000000001"/>
    <n v="1.2270000000000001"/>
    <n v="286377"/>
    <n v="2.141"/>
    <n v="1.2929999999999999"/>
  </r>
  <r>
    <x v="1"/>
    <x v="26"/>
    <s v="S12000020"/>
    <n v="372"/>
    <n v="356"/>
    <n v="728"/>
    <n v="629"/>
    <n v="336"/>
    <n v="293"/>
    <n v="43788"/>
    <n v="1.663"/>
    <n v="1.4359999999999999"/>
    <n v="41288"/>
    <n v="1.7629999999999999"/>
    <n v="1.5229999999999999"/>
  </r>
  <r>
    <x v="1"/>
    <x v="1"/>
    <s v="S12000027"/>
    <n v="55"/>
    <n v="168"/>
    <n v="223"/>
    <n v="102"/>
    <n v="60"/>
    <n v="42"/>
    <n v="10950"/>
    <n v="2.0369999999999999"/>
    <n v="0.93200000000000005"/>
    <n v="10166"/>
    <n v="2.194"/>
    <n v="1.0029999999999999"/>
  </r>
  <r>
    <x v="2"/>
    <x v="25"/>
    <s v="S12000019"/>
    <n v="574"/>
    <n v="527"/>
    <n v="1101"/>
    <n v="909"/>
    <n v="474"/>
    <n v="435"/>
    <n v="38675"/>
    <n v="2.847"/>
    <n v="2.35"/>
    <n v="37069"/>
    <n v="2.97"/>
    <n v="2.452"/>
  </r>
  <r>
    <x v="2"/>
    <x v="16"/>
    <s v="S12000021"/>
    <n v="932"/>
    <n v="1137"/>
    <n v="2069"/>
    <n v="1485"/>
    <n v="954"/>
    <n v="531"/>
    <n v="67590"/>
    <n v="3.0609999999999999"/>
    <n v="2.1970000000000001"/>
    <n v="63189"/>
    <n v="3.274"/>
    <n v="2.35"/>
  </r>
  <r>
    <x v="2"/>
    <x v="22"/>
    <s v="S12000024"/>
    <n v="443"/>
    <n v="1556"/>
    <n v="1999"/>
    <n v="671"/>
    <n v="437"/>
    <n v="234"/>
    <n v="70828"/>
    <n v="2.8220000000000001"/>
    <n v="0.94699999999999995"/>
    <n v="66545"/>
    <n v="3.004"/>
    <n v="1.008"/>
  </r>
  <r>
    <x v="2"/>
    <x v="20"/>
    <s v="S12000038"/>
    <n v="794"/>
    <n v="944"/>
    <n v="1738"/>
    <n v="1264"/>
    <n v="865"/>
    <n v="399"/>
    <n v="84997"/>
    <n v="2.0449999999999999"/>
    <n v="1.4870000000000001"/>
    <n v="83245"/>
    <n v="2.0880000000000001"/>
    <n v="1.518"/>
  </r>
  <r>
    <x v="2"/>
    <x v="12"/>
    <s v="S12000029"/>
    <n v="1189"/>
    <n v="2143"/>
    <n v="3332"/>
    <n v="1907"/>
    <n v="1396"/>
    <n v="511"/>
    <n v="147849"/>
    <n v="2.254"/>
    <n v="1.29"/>
    <n v="143313"/>
    <n v="2.3250000000000002"/>
    <n v="1.331"/>
  </r>
  <r>
    <x v="3"/>
    <x v="4"/>
    <s v="S12000034"/>
    <n v="739"/>
    <n v="1595"/>
    <n v="2334"/>
    <n v="1222"/>
    <n v="712"/>
    <n v="510"/>
    <n v="116421"/>
    <n v="2.0049999999999999"/>
    <n v="1.05"/>
    <n v="110296"/>
    <n v="2.1160000000000001"/>
    <n v="1.1080000000000001"/>
  </r>
  <r>
    <x v="3"/>
    <x v="0"/>
    <s v="S12000045"/>
    <n v="720"/>
    <n v="659"/>
    <n v="1379"/>
    <n v="1148"/>
    <n v="857"/>
    <n v="291"/>
    <n v="46026"/>
    <n v="2.996"/>
    <n v="2.4940000000000002"/>
    <n v="45350"/>
    <n v="3.0409999999999999"/>
    <n v="2.5310000000000001"/>
  </r>
  <r>
    <x v="3"/>
    <x v="27"/>
    <s v="S12000040"/>
    <n v="972"/>
    <n v="766"/>
    <n v="1738"/>
    <n v="1502"/>
    <n v="837"/>
    <n v="665"/>
    <n v="78604"/>
    <n v="2.2109999999999999"/>
    <n v="1.911"/>
    <n v="76630"/>
    <n v="2.2679999999999998"/>
    <n v="1.96"/>
  </r>
  <r>
    <x v="4"/>
    <x v="0"/>
    <s v="S12000045"/>
    <n v="721"/>
    <n v="684"/>
    <n v="1405"/>
    <n v="1112"/>
    <n v="764"/>
    <n v="348"/>
    <n v="46430"/>
    <n v="3.0259999999999998"/>
    <n v="2.395"/>
    <n v="45690"/>
    <n v="3.0750000000000002"/>
    <n v="2.4340000000000002"/>
  </r>
  <r>
    <x v="5"/>
    <x v="9"/>
    <s v="S12000036"/>
    <n v="1892"/>
    <n v="2567"/>
    <n v="4459"/>
    <n v="2656"/>
    <n v="1880"/>
    <n v="776"/>
    <n v="249810"/>
    <n v="1.7849999999999999"/>
    <n v="1.0629999999999999"/>
    <n v="235771"/>
    <n v="1.891"/>
    <n v="1.127"/>
  </r>
  <r>
    <x v="5"/>
    <x v="25"/>
    <s v="S12000019"/>
    <n v="394"/>
    <n v="606"/>
    <n v="1000"/>
    <n v="620"/>
    <n v="353"/>
    <n v="267"/>
    <n v="40612"/>
    <n v="2.4620000000000002"/>
    <n v="1.5269999999999999"/>
    <n v="39122"/>
    <n v="2.556"/>
    <n v="1.585"/>
  </r>
  <r>
    <x v="5"/>
    <x v="16"/>
    <s v="S12000021"/>
    <n v="702"/>
    <n v="880"/>
    <n v="1582"/>
    <n v="1176"/>
    <n v="725"/>
    <n v="451"/>
    <n v="68158"/>
    <n v="2.3210000000000002"/>
    <n v="1.7250000000000001"/>
    <n v="63935"/>
    <n v="2.4740000000000002"/>
    <n v="1.839"/>
  </r>
  <r>
    <x v="5"/>
    <x v="20"/>
    <s v="S12000038"/>
    <n v="849"/>
    <n v="1039"/>
    <n v="1888"/>
    <n v="1280"/>
    <n v="805"/>
    <n v="475"/>
    <n v="87265"/>
    <n v="2.1640000000000001"/>
    <n v="1.4670000000000001"/>
    <n v="85745"/>
    <n v="2.202"/>
    <n v="1.4930000000000001"/>
  </r>
  <r>
    <x v="5"/>
    <x v="12"/>
    <s v="S12000029"/>
    <n v="1352"/>
    <n v="2192"/>
    <n v="3544"/>
    <n v="2147"/>
    <n v="1663"/>
    <n v="484"/>
    <n v="151352"/>
    <n v="2.3420000000000001"/>
    <n v="1.419"/>
    <n v="146173"/>
    <n v="2.4249999999999998"/>
    <n v="1.4690000000000001"/>
  </r>
  <r>
    <x v="0"/>
    <x v="25"/>
    <s v="S12000019"/>
    <n v="569"/>
    <n v="411"/>
    <n v="980"/>
    <n v="857"/>
    <n v="405"/>
    <n v="452"/>
    <n v="37503"/>
    <n v="2.613"/>
    <n v="2.2850000000000001"/>
    <n v="36009"/>
    <n v="2.722"/>
    <n v="2.38"/>
  </r>
  <r>
    <x v="0"/>
    <x v="22"/>
    <s v="S12000024"/>
    <n v="922"/>
    <n v="3448"/>
    <n v="4370"/>
    <n v="1414"/>
    <n v="890"/>
    <n v="524"/>
    <n v="69923"/>
    <n v="6.25"/>
    <n v="2.0219999999999998"/>
    <n v="65616"/>
    <n v="6.66"/>
    <n v="2.1549999999999998"/>
  </r>
  <r>
    <x v="1"/>
    <x v="3"/>
    <s v="S12000033"/>
    <n v="524"/>
    <n v="1951"/>
    <n v="2475"/>
    <n v="752"/>
    <n v="469"/>
    <n v="283"/>
    <n v="113508"/>
    <n v="2.1800000000000002"/>
    <n v="0.66300000000000003"/>
    <n v="105287"/>
    <n v="2.351"/>
    <n v="0.71399999999999997"/>
  </r>
  <r>
    <x v="1"/>
    <x v="9"/>
    <s v="S12000036"/>
    <n v="2833"/>
    <n v="2754"/>
    <n v="5587"/>
    <n v="3885"/>
    <n v="2716"/>
    <n v="1169"/>
    <n v="239525"/>
    <n v="2.3330000000000002"/>
    <n v="1.6220000000000001"/>
    <n v="229231"/>
    <n v="2.4369999999999998"/>
    <n v="1.6950000000000001"/>
  </r>
  <r>
    <x v="1"/>
    <x v="22"/>
    <s v="S12000024"/>
    <n v="635"/>
    <n v="1787"/>
    <n v="2422"/>
    <n v="947"/>
    <n v="628"/>
    <n v="319"/>
    <n v="70312"/>
    <n v="3.4449999999999998"/>
    <n v="1.347"/>
    <n v="66035"/>
    <n v="3.6680000000000001"/>
    <n v="1.4339999999999999"/>
  </r>
  <r>
    <x v="1"/>
    <x v="20"/>
    <s v="S12000038"/>
    <n v="885"/>
    <n v="1268"/>
    <n v="2153"/>
    <n v="1445"/>
    <n v="1020"/>
    <n v="425"/>
    <n v="84442"/>
    <n v="2.5499999999999998"/>
    <n v="1.7110000000000001"/>
    <n v="82385"/>
    <n v="2.613"/>
    <n v="1.754"/>
  </r>
  <r>
    <x v="2"/>
    <x v="15"/>
    <s v="S12000042"/>
    <n v="849"/>
    <n v="3502"/>
    <n v="4351"/>
    <n v="1188"/>
    <n v="818"/>
    <n v="370"/>
    <n v="73689"/>
    <n v="5.9050000000000002"/>
    <n v="1.6120000000000001"/>
    <n v="69534"/>
    <n v="6.2569999999999997"/>
    <n v="1.7090000000000001"/>
  </r>
  <r>
    <x v="2"/>
    <x v="13"/>
    <s v="S12000010"/>
    <n v="716"/>
    <n v="704"/>
    <n v="1420"/>
    <n v="1220"/>
    <n v="715"/>
    <n v="505"/>
    <n v="46332"/>
    <n v="3.0649999999999999"/>
    <n v="2.633"/>
    <n v="44384"/>
    <n v="3.1989999999999998"/>
    <n v="2.7490000000000001"/>
  </r>
  <r>
    <x v="2"/>
    <x v="31"/>
    <s v="S12000026"/>
    <n v="1347"/>
    <n v="1196"/>
    <n v="2543"/>
    <n v="2132"/>
    <n v="802"/>
    <n v="1330"/>
    <n v="57628"/>
    <n v="4.4130000000000003"/>
    <n v="3.7"/>
    <n v="53351"/>
    <n v="4.7670000000000003"/>
    <n v="3.996"/>
  </r>
  <r>
    <x v="2"/>
    <x v="1"/>
    <s v="S12000027"/>
    <n v="100"/>
    <n v="177"/>
    <n v="277"/>
    <n v="195"/>
    <n v="101"/>
    <n v="94"/>
    <n v="11021"/>
    <n v="2.5129999999999999"/>
    <n v="1.7689999999999999"/>
    <n v="10235"/>
    <n v="2.706"/>
    <n v="1.905"/>
  </r>
  <r>
    <x v="3"/>
    <x v="17"/>
    <s v="S12000005"/>
    <n v="270"/>
    <n v="361"/>
    <n v="631"/>
    <n v="401"/>
    <n v="281"/>
    <n v="120"/>
    <n v="24221"/>
    <n v="2.605"/>
    <n v="1.6559999999999999"/>
    <n v="23401"/>
    <n v="2.6960000000000002"/>
    <n v="1.714"/>
  </r>
  <r>
    <x v="3"/>
    <x v="23"/>
    <s v="S12000006"/>
    <n v="1262"/>
    <n v="848"/>
    <n v="2110"/>
    <n v="1792"/>
    <n v="1150"/>
    <n v="642"/>
    <n v="74453"/>
    <n v="2.8340000000000001"/>
    <n v="2.407"/>
    <n v="69202"/>
    <n v="3.0489999999999999"/>
    <n v="2.59"/>
  </r>
  <r>
    <x v="3"/>
    <x v="21"/>
    <s v="S12000015"/>
    <n v="3394"/>
    <n v="3061"/>
    <n v="6455"/>
    <n v="5319"/>
    <n v="3465"/>
    <n v="1854"/>
    <n v="174528"/>
    <n v="3.6989999999999998"/>
    <n v="3.048"/>
    <n v="165833"/>
    <n v="3.8919999999999999"/>
    <n v="3.2069999999999999"/>
  </r>
  <r>
    <x v="3"/>
    <x v="18"/>
    <s v="S12000013"/>
    <n v="94"/>
    <n v="249"/>
    <n v="343"/>
    <n v="141"/>
    <n v="95"/>
    <n v="46"/>
    <n v="14599"/>
    <n v="2.3490000000000002"/>
    <n v="0.96599999999999997"/>
    <n v="12951"/>
    <n v="2.6480000000000001"/>
    <n v="1.089"/>
  </r>
  <r>
    <x v="3"/>
    <x v="24"/>
    <s v="S12000030"/>
    <n v="336"/>
    <n v="720"/>
    <n v="1056"/>
    <n v="535"/>
    <n v="334"/>
    <n v="201"/>
    <n v="40998"/>
    <n v="2.5760000000000001"/>
    <n v="1.3049999999999999"/>
    <n v="38951"/>
    <n v="2.7109999999999999"/>
    <n v="1.3740000000000001"/>
  </r>
  <r>
    <x v="3"/>
    <x v="8"/>
    <s v="S12000039"/>
    <n v="558"/>
    <n v="1035"/>
    <n v="1593"/>
    <n v="858"/>
    <n v="620"/>
    <n v="238"/>
    <n v="45104"/>
    <n v="3.532"/>
    <n v="1.9019999999999999"/>
    <n v="42657"/>
    <n v="3.734"/>
    <n v="2.0110000000000001"/>
  </r>
  <r>
    <x v="4"/>
    <x v="4"/>
    <s v="S12000034"/>
    <n v="736"/>
    <n v="1405"/>
    <n v="2141"/>
    <n v="1281"/>
    <n v="828"/>
    <n v="453"/>
    <n v="117363"/>
    <n v="1.8240000000000001"/>
    <n v="1.091"/>
    <n v="110941"/>
    <n v="1.93"/>
    <n v="1.155"/>
  </r>
  <r>
    <x v="4"/>
    <x v="5"/>
    <s v="S12000035"/>
    <n v="650"/>
    <n v="1030"/>
    <n v="1680"/>
    <n v="965"/>
    <n v="503"/>
    <n v="462"/>
    <n v="47884"/>
    <n v="3.508"/>
    <n v="2.0150000000000001"/>
    <n v="41455"/>
    <n v="4.0529999999999999"/>
    <n v="2.3279999999999998"/>
  </r>
  <r>
    <x v="4"/>
    <x v="17"/>
    <s v="S12000005"/>
    <n v="204"/>
    <n v="360"/>
    <n v="564"/>
    <n v="315"/>
    <n v="230"/>
    <n v="85"/>
    <n v="24377"/>
    <n v="2.3140000000000001"/>
    <n v="1.292"/>
    <n v="23563"/>
    <n v="2.3940000000000001"/>
    <n v="1.337"/>
  </r>
  <r>
    <x v="4"/>
    <x v="18"/>
    <s v="S12000013"/>
    <n v="125"/>
    <n v="224"/>
    <n v="349"/>
    <n v="182"/>
    <n v="171"/>
    <n v="11"/>
    <n v="14714"/>
    <n v="2.3719999999999999"/>
    <n v="1.2370000000000001"/>
    <n v="12805"/>
    <n v="2.7250000000000001"/>
    <n v="1.421"/>
  </r>
  <r>
    <x v="4"/>
    <x v="7"/>
    <s v="S12000028"/>
    <n v="543"/>
    <n v="765"/>
    <n v="1308"/>
    <n v="893"/>
    <n v="559"/>
    <n v="334"/>
    <n v="55252"/>
    <n v="2.367"/>
    <n v="1.6160000000000001"/>
    <n v="52104"/>
    <n v="2.5099999999999998"/>
    <n v="1.714"/>
  </r>
  <r>
    <x v="4"/>
    <x v="12"/>
    <s v="S12000029"/>
    <n v="1336"/>
    <n v="2180"/>
    <n v="3516"/>
    <n v="2110"/>
    <n v="1607"/>
    <n v="503"/>
    <n v="149972"/>
    <n v="2.3439999999999999"/>
    <n v="1.407"/>
    <n v="145182"/>
    <n v="2.4220000000000002"/>
    <n v="1.4530000000000001"/>
  </r>
  <r>
    <x v="4"/>
    <x v="8"/>
    <s v="S12000039"/>
    <n v="653"/>
    <n v="1022"/>
    <n v="1675"/>
    <n v="997"/>
    <n v="712"/>
    <n v="285"/>
    <n v="45093"/>
    <n v="3.7149999999999999"/>
    <n v="2.2109999999999999"/>
    <n v="42746"/>
    <n v="3.9180000000000001"/>
    <n v="2.3319999999999999"/>
  </r>
  <r>
    <x v="4"/>
    <x v="27"/>
    <s v="S12000040"/>
    <n v="964"/>
    <n v="1092"/>
    <n v="2056"/>
    <n v="1456"/>
    <n v="850"/>
    <n v="606"/>
    <n v="79112"/>
    <n v="2.5990000000000002"/>
    <n v="1.84"/>
    <n v="77369"/>
    <n v="2.657"/>
    <n v="1.8819999999999999"/>
  </r>
  <r>
    <x v="5"/>
    <x v="26"/>
    <s v="S12000020"/>
    <n v="515"/>
    <n v="1149"/>
    <n v="1664"/>
    <n v="870"/>
    <n v="397"/>
    <n v="473"/>
    <n v="45209"/>
    <n v="3.681"/>
    <n v="1.9239999999999999"/>
    <n v="42554"/>
    <n v="3.91"/>
    <n v="2.044"/>
  </r>
  <r>
    <x v="5"/>
    <x v="31"/>
    <s v="S12000026"/>
    <n v="920"/>
    <n v="1207"/>
    <n v="2127"/>
    <n v="1413"/>
    <n v="740"/>
    <n v="673"/>
    <n v="58425"/>
    <n v="3.641"/>
    <n v="2.4180000000000001"/>
    <n v="54413"/>
    <n v="3.9089999999999998"/>
    <n v="2.597"/>
  </r>
  <r>
    <x v="5"/>
    <x v="24"/>
    <s v="S12000030"/>
    <n v="322"/>
    <n v="611"/>
    <n v="933"/>
    <n v="509"/>
    <n v="327"/>
    <n v="182"/>
    <n v="41443"/>
    <n v="2.2509999999999999"/>
    <n v="1.228"/>
    <n v="39440"/>
    <n v="2.3660000000000001"/>
    <n v="1.2909999999999999"/>
  </r>
  <r>
    <x v="0"/>
    <x v="23"/>
    <s v="S12000006"/>
    <n v="1064"/>
    <n v="392"/>
    <n v="1456"/>
    <n v="1422"/>
    <n v="882"/>
    <n v="540"/>
    <n v="73555"/>
    <n v="1.9790000000000001"/>
    <n v="1.9330000000000001"/>
    <n v="68682"/>
    <n v="2.12"/>
    <n v="2.0699999999999998"/>
  </r>
  <r>
    <x v="0"/>
    <x v="19"/>
    <s v="S12000017"/>
    <n v="1287"/>
    <n v="2547"/>
    <n v="3834"/>
    <n v="2041"/>
    <n v="1317"/>
    <n v="724"/>
    <n v="113703"/>
    <n v="3.3719999999999999"/>
    <n v="1.7949999999999999"/>
    <n v="104445"/>
    <n v="3.6709999999999998"/>
    <n v="1.954"/>
  </r>
  <r>
    <x v="0"/>
    <x v="30"/>
    <s v="S12000018"/>
    <n v="649"/>
    <n v="595"/>
    <n v="1244"/>
    <n v="980"/>
    <n v="626"/>
    <n v="354"/>
    <n v="38791"/>
    <n v="3.2069999999999999"/>
    <n v="2.5259999999999998"/>
    <n v="37337"/>
    <n v="3.3319999999999999"/>
    <n v="2.625"/>
  </r>
  <r>
    <x v="0"/>
    <x v="31"/>
    <s v="S12000026"/>
    <n v="1252"/>
    <n v="1347"/>
    <n v="2599"/>
    <n v="1994"/>
    <n v="947"/>
    <n v="1047"/>
    <n v="57097"/>
    <n v="4.5519999999999996"/>
    <n v="3.492"/>
    <n v="52934"/>
    <n v="4.91"/>
    <n v="3.7669999999999999"/>
  </r>
  <r>
    <x v="0"/>
    <x v="24"/>
    <s v="S12000030"/>
    <n v="265"/>
    <n v="607"/>
    <n v="872"/>
    <n v="410"/>
    <n v="297"/>
    <n v="113"/>
    <n v="39965"/>
    <n v="2.1819999999999999"/>
    <n v="1.026"/>
    <n v="38056"/>
    <n v="2.2909999999999999"/>
    <n v="1.077"/>
  </r>
  <r>
    <x v="1"/>
    <x v="23"/>
    <s v="S12000006"/>
    <n v="897"/>
    <n v="629"/>
    <n v="1526"/>
    <n v="1215"/>
    <n v="765"/>
    <n v="450"/>
    <n v="73895"/>
    <n v="2.0649999999999999"/>
    <n v="1.6439999999999999"/>
    <n v="68818"/>
    <n v="2.2170000000000001"/>
    <n v="1.766"/>
  </r>
  <r>
    <x v="1"/>
    <x v="19"/>
    <s v="S12000017"/>
    <n v="962"/>
    <n v="2623"/>
    <n v="3585"/>
    <n v="1542"/>
    <n v="1042"/>
    <n v="500"/>
    <n v="114603"/>
    <n v="3.1280000000000001"/>
    <n v="1.3460000000000001"/>
    <n v="105711"/>
    <n v="3.391"/>
    <n v="1.4590000000000001"/>
  </r>
  <r>
    <x v="1"/>
    <x v="30"/>
    <s v="S12000018"/>
    <n v="673"/>
    <n v="631"/>
    <n v="1304"/>
    <n v="1022"/>
    <n v="636"/>
    <n v="386"/>
    <n v="38699"/>
    <n v="3.37"/>
    <n v="2.641"/>
    <n v="37384"/>
    <n v="3.488"/>
    <n v="2.734"/>
  </r>
  <r>
    <x v="1"/>
    <x v="31"/>
    <s v="S12000026"/>
    <n v="1229"/>
    <n v="1194"/>
    <n v="2423"/>
    <n v="1916"/>
    <n v="844"/>
    <n v="1072"/>
    <n v="57274"/>
    <n v="4.2309999999999999"/>
    <n v="3.3450000000000002"/>
    <n v="53157"/>
    <n v="4.5579999999999998"/>
    <n v="3.6040000000000001"/>
  </r>
  <r>
    <x v="1"/>
    <x v="24"/>
    <s v="S12000030"/>
    <n v="352"/>
    <n v="667"/>
    <n v="1019"/>
    <n v="557"/>
    <n v="391"/>
    <n v="166"/>
    <n v="40320"/>
    <n v="2.5270000000000001"/>
    <n v="1.381"/>
    <n v="38310"/>
    <n v="2.66"/>
    <n v="1.454"/>
  </r>
  <r>
    <x v="2"/>
    <x v="9"/>
    <s v="S12000036"/>
    <n v="2759"/>
    <n v="2546"/>
    <n v="5305"/>
    <n v="3843"/>
    <n v="2752"/>
    <n v="1091"/>
    <n v="241433"/>
    <n v="2.1970000000000001"/>
    <n v="1.5920000000000001"/>
    <n v="229650"/>
    <n v="2.31"/>
    <n v="1.673"/>
  </r>
  <r>
    <x v="2"/>
    <x v="17"/>
    <s v="S12000005"/>
    <n v="243"/>
    <n v="382"/>
    <n v="625"/>
    <n v="359"/>
    <n v="229"/>
    <n v="130"/>
    <n v="24114"/>
    <n v="2.5920000000000001"/>
    <n v="1.4890000000000001"/>
    <n v="23333"/>
    <n v="2.6789999999999998"/>
    <n v="1.5389999999999999"/>
  </r>
  <r>
    <x v="2"/>
    <x v="10"/>
    <s v="S12000011"/>
    <n v="587"/>
    <n v="1106"/>
    <n v="1693"/>
    <n v="890"/>
    <n v="640"/>
    <n v="250"/>
    <n v="38061"/>
    <n v="4.4480000000000004"/>
    <n v="2.3380000000000001"/>
    <n v="38270"/>
    <n v="4.4240000000000004"/>
    <n v="2.3260000000000001"/>
  </r>
  <r>
    <x v="2"/>
    <x v="26"/>
    <s v="S12000020"/>
    <n v="426"/>
    <n v="479"/>
    <n v="905"/>
    <n v="767"/>
    <n v="383"/>
    <n v="384"/>
    <n v="44096"/>
    <n v="2.052"/>
    <n v="1.7390000000000001"/>
    <n v="41641"/>
    <n v="2.173"/>
    <n v="1.8420000000000001"/>
  </r>
  <r>
    <x v="2"/>
    <x v="11"/>
    <s v="S12000023"/>
    <n v="134"/>
    <n v="192"/>
    <n v="326"/>
    <n v="201"/>
    <n v="109"/>
    <n v="92"/>
    <n v="10924"/>
    <n v="2.984"/>
    <n v="1.84"/>
    <n v="10146"/>
    <n v="3.2130000000000001"/>
    <n v="1.9810000000000001"/>
  </r>
  <r>
    <x v="3"/>
    <x v="3"/>
    <s v="S12000033"/>
    <n v="466"/>
    <n v="1427"/>
    <n v="1893"/>
    <n v="673"/>
    <n v="374"/>
    <n v="299"/>
    <n v="115080"/>
    <n v="1.645"/>
    <n v="0.58499999999999996"/>
    <n v="106749"/>
    <n v="1.7729999999999999"/>
    <n v="0.63"/>
  </r>
  <r>
    <x v="3"/>
    <x v="5"/>
    <s v="S12000035"/>
    <n v="630"/>
    <n v="925"/>
    <n v="1555"/>
    <n v="978"/>
    <n v="481"/>
    <n v="497"/>
    <n v="47780"/>
    <n v="3.254"/>
    <n v="2.0470000000000002"/>
    <n v="41040"/>
    <n v="3.7890000000000001"/>
    <n v="2.383"/>
  </r>
  <r>
    <x v="3"/>
    <x v="28"/>
    <s v="S12000014"/>
    <n v="570"/>
    <n v="980"/>
    <n v="1550"/>
    <n v="878"/>
    <n v="612"/>
    <n v="266"/>
    <n v="73767"/>
    <n v="2.101"/>
    <n v="1.19"/>
    <n v="71072"/>
    <n v="2.181"/>
    <n v="1.2350000000000001"/>
  </r>
  <r>
    <x v="3"/>
    <x v="29"/>
    <s v="S12000046"/>
    <n v="2486"/>
    <n v="3499"/>
    <n v="5985"/>
    <n v="3481"/>
    <n v="2532"/>
    <n v="949"/>
    <n v="306000"/>
    <n v="1.956"/>
    <n v="1.1379999999999999"/>
    <n v="289399"/>
    <n v="2.0680000000000001"/>
    <n v="1.2030000000000001"/>
  </r>
  <r>
    <x v="3"/>
    <x v="1"/>
    <s v="S12000027"/>
    <n v="86"/>
    <n v="283"/>
    <n v="369"/>
    <n v="160"/>
    <n v="90"/>
    <n v="70"/>
    <n v="11109"/>
    <n v="3.3220000000000001"/>
    <n v="1.44"/>
    <n v="10283"/>
    <n v="3.5880000000000001"/>
    <n v="1.556"/>
  </r>
  <r>
    <x v="3"/>
    <x v="7"/>
    <s v="S12000028"/>
    <n v="691"/>
    <n v="784"/>
    <n v="1475"/>
    <n v="1102"/>
    <n v="697"/>
    <n v="405"/>
    <n v="54942"/>
    <n v="2.6850000000000001"/>
    <n v="2.0059999999999998"/>
    <n v="51923"/>
    <n v="2.8410000000000002"/>
    <n v="2.1219999999999999"/>
  </r>
  <r>
    <x v="4"/>
    <x v="14"/>
    <s v="S12000041"/>
    <n v="469"/>
    <n v="1121"/>
    <n v="1590"/>
    <n v="650"/>
    <n v="434"/>
    <n v="216"/>
    <n v="56135"/>
    <n v="2.8319999999999999"/>
    <n v="1.1579999999999999"/>
    <n v="53627"/>
    <n v="2.9649999999999999"/>
    <n v="1.212"/>
  </r>
  <r>
    <x v="4"/>
    <x v="15"/>
    <s v="S12000042"/>
    <n v="662"/>
    <n v="2304"/>
    <n v="2966"/>
    <n v="915"/>
    <n v="626"/>
    <n v="289"/>
    <n v="74354"/>
    <n v="3.9889999999999999"/>
    <n v="1.2310000000000001"/>
    <n v="70049"/>
    <n v="4.234"/>
    <n v="1.306"/>
  </r>
  <r>
    <x v="4"/>
    <x v="28"/>
    <s v="S12000014"/>
    <n v="512"/>
    <n v="1083"/>
    <n v="1595"/>
    <n v="810"/>
    <n v="530"/>
    <n v="280"/>
    <n v="74361"/>
    <n v="2.145"/>
    <n v="1.089"/>
    <n v="71800"/>
    <n v="2.2210000000000001"/>
    <n v="1.1279999999999999"/>
  </r>
  <r>
    <x v="4"/>
    <x v="29"/>
    <s v="S12000046"/>
    <n v="2973"/>
    <n v="5059"/>
    <n v="8032"/>
    <n v="4071"/>
    <n v="3089"/>
    <n v="982"/>
    <n v="308293"/>
    <n v="2.605"/>
    <n v="1.32"/>
    <n v="291115"/>
    <n v="2.7589999999999999"/>
    <n v="1.3979999999999999"/>
  </r>
  <r>
    <x v="4"/>
    <x v="1"/>
    <s v="S12000027"/>
    <n v="113"/>
    <n v="212"/>
    <n v="325"/>
    <n v="204"/>
    <n v="128"/>
    <n v="76"/>
    <n v="11180"/>
    <n v="2.907"/>
    <n v="1.825"/>
    <n v="10341"/>
    <n v="3.1429999999999998"/>
    <n v="1.9730000000000001"/>
  </r>
  <r>
    <x v="5"/>
    <x v="3"/>
    <s v="S12000033"/>
    <n v="569"/>
    <n v="2176"/>
    <n v="2745"/>
    <n v="824"/>
    <n v="546"/>
    <n v="278"/>
    <n v="118131"/>
    <n v="2.3239999999999998"/>
    <n v="0.69799999999999995"/>
    <n v="107586"/>
    <n v="2.5510000000000002"/>
    <n v="0.76600000000000001"/>
  </r>
  <r>
    <x v="5"/>
    <x v="17"/>
    <s v="S12000005"/>
    <n v="219"/>
    <n v="372"/>
    <n v="591"/>
    <n v="317"/>
    <n v="235"/>
    <n v="82"/>
    <n v="24524"/>
    <n v="2.41"/>
    <n v="1.2929999999999999"/>
    <n v="23674"/>
    <n v="2.496"/>
    <n v="1.339"/>
  </r>
  <r>
    <x v="5"/>
    <x v="7"/>
    <s v="S12000028"/>
    <n v="437"/>
    <n v="687"/>
    <n v="1124"/>
    <n v="735"/>
    <n v="531"/>
    <n v="204"/>
    <n v="55486"/>
    <n v="2.0259999999999998"/>
    <n v="1.325"/>
    <n v="52281"/>
    <n v="2.15"/>
    <n v="1.4059999999999999"/>
  </r>
  <r>
    <x v="0"/>
    <x v="4"/>
    <s v="S12000034"/>
    <n v="567"/>
    <n v="790"/>
    <n v="1357"/>
    <n v="888"/>
    <n v="497"/>
    <n v="391"/>
    <n v="112867"/>
    <n v="1.202"/>
    <n v="0.78700000000000003"/>
    <n v="107128"/>
    <n v="1.2669999999999999"/>
    <n v="0.82899999999999996"/>
  </r>
  <r>
    <x v="0"/>
    <x v="17"/>
    <s v="S12000005"/>
    <n v="354"/>
    <n v="518"/>
    <n v="872"/>
    <n v="542"/>
    <n v="391"/>
    <n v="151"/>
    <n v="23894"/>
    <n v="3.649"/>
    <n v="2.2679999999999998"/>
    <n v="22978"/>
    <n v="3.7949999999999999"/>
    <n v="2.359"/>
  </r>
  <r>
    <x v="0"/>
    <x v="20"/>
    <s v="S12000038"/>
    <n v="1045"/>
    <n v="832"/>
    <n v="1877"/>
    <n v="1726"/>
    <n v="1240"/>
    <n v="486"/>
    <n v="83933"/>
    <n v="2.2360000000000002"/>
    <n v="2.056"/>
    <n v="81787"/>
    <n v="2.2949999999999999"/>
    <n v="2.11"/>
  </r>
  <r>
    <x v="0"/>
    <x v="7"/>
    <s v="S12000028"/>
    <n v="601"/>
    <n v="462"/>
    <n v="1063"/>
    <n v="1007"/>
    <n v="577"/>
    <n v="430"/>
    <n v="54385"/>
    <n v="1.9550000000000001"/>
    <n v="1.8520000000000001"/>
    <n v="51654"/>
    <n v="2.0579999999999998"/>
    <n v="1.95"/>
  </r>
  <r>
    <x v="0"/>
    <x v="12"/>
    <s v="S12000029"/>
    <n v="1230"/>
    <n v="1647"/>
    <n v="2877"/>
    <n v="2059"/>
    <n v="1474"/>
    <n v="585"/>
    <n v="146110"/>
    <n v="1.9690000000000001"/>
    <n v="1.409"/>
    <n v="141129"/>
    <n v="2.0390000000000001"/>
    <n v="1.4590000000000001"/>
  </r>
  <r>
    <x v="0"/>
    <x v="27"/>
    <s v="S12000040"/>
    <n v="1381"/>
    <n v="546"/>
    <n v="1927"/>
    <n v="2262"/>
    <n v="1141"/>
    <n v="1121"/>
    <n v="76473"/>
    <n v="2.52"/>
    <n v="2.9580000000000002"/>
    <n v="74335"/>
    <n v="2.5920000000000001"/>
    <n v="3.0430000000000001"/>
  </r>
  <r>
    <x v="1"/>
    <x v="4"/>
    <s v="S12000034"/>
    <n v="617"/>
    <n v="831"/>
    <n v="1448"/>
    <n v="1003"/>
    <n v="609"/>
    <n v="394"/>
    <n v="114086"/>
    <n v="1.2689999999999999"/>
    <n v="0.879"/>
    <n v="108381"/>
    <n v="1.3360000000000001"/>
    <n v="0.92500000000000004"/>
  </r>
  <r>
    <x v="1"/>
    <x v="5"/>
    <s v="S12000035"/>
    <n v="498"/>
    <n v="680"/>
    <n v="1178"/>
    <n v="826"/>
    <n v="412"/>
    <n v="414"/>
    <n v="47500"/>
    <n v="2.48"/>
    <n v="1.7390000000000001"/>
    <n v="40857"/>
    <n v="2.883"/>
    <n v="2.0219999999999998"/>
  </r>
  <r>
    <x v="1"/>
    <x v="6"/>
    <s v="S12000008"/>
    <n v="467"/>
    <n v="837"/>
    <n v="1304"/>
    <n v="762"/>
    <n v="506"/>
    <n v="256"/>
    <n v="57324"/>
    <n v="2.2749999999999999"/>
    <n v="1.329"/>
    <n v="54401"/>
    <n v="2.3969999999999998"/>
    <n v="1.401"/>
  </r>
  <r>
    <x v="1"/>
    <x v="25"/>
    <s v="S12000019"/>
    <n v="479"/>
    <n v="491"/>
    <n v="970"/>
    <n v="737"/>
    <n v="465"/>
    <n v="272"/>
    <n v="38159"/>
    <n v="2.5419999999999998"/>
    <n v="1.931"/>
    <n v="36602"/>
    <n v="2.65"/>
    <n v="2.0139999999999998"/>
  </r>
  <r>
    <x v="1"/>
    <x v="16"/>
    <s v="S12000021"/>
    <n v="901"/>
    <n v="964"/>
    <n v="1865"/>
    <n v="1483"/>
    <n v="932"/>
    <n v="551"/>
    <n v="67204"/>
    <n v="2.7749999999999999"/>
    <n v="2.2069999999999999"/>
    <n v="62802"/>
    <n v="2.97"/>
    <n v="2.3610000000000002"/>
  </r>
  <r>
    <x v="1"/>
    <x v="7"/>
    <s v="S12000028"/>
    <n v="608"/>
    <n v="517"/>
    <n v="1125"/>
    <n v="1033"/>
    <n v="715"/>
    <n v="318"/>
    <n v="54489"/>
    <n v="2.0649999999999999"/>
    <n v="1.8959999999999999"/>
    <n v="51874"/>
    <n v="2.169"/>
    <n v="1.9910000000000001"/>
  </r>
  <r>
    <x v="1"/>
    <x v="12"/>
    <s v="S12000029"/>
    <n v="1155"/>
    <n v="1979"/>
    <n v="3134"/>
    <n v="1884"/>
    <n v="1410"/>
    <n v="474"/>
    <n v="146925"/>
    <n v="2.133"/>
    <n v="1.282"/>
    <n v="142286"/>
    <n v="2.2029999999999998"/>
    <n v="1.3240000000000001"/>
  </r>
  <r>
    <x v="1"/>
    <x v="8"/>
    <s v="S12000039"/>
    <n v="402"/>
    <n v="519"/>
    <n v="921"/>
    <n v="631"/>
    <n v="471"/>
    <n v="160"/>
    <n v="44734"/>
    <n v="2.0590000000000002"/>
    <n v="1.411"/>
    <n v="42353"/>
    <n v="2.1749999999999998"/>
    <n v="1.49"/>
  </r>
  <r>
    <x v="1"/>
    <x v="27"/>
    <s v="S12000040"/>
    <n v="1103"/>
    <n v="638"/>
    <n v="1741"/>
    <n v="1780"/>
    <n v="967"/>
    <n v="813"/>
    <n v="77186"/>
    <n v="2.2559999999999998"/>
    <n v="2.306"/>
    <n v="75035"/>
    <n v="2.3199999999999998"/>
    <n v="2.3719999999999999"/>
  </r>
  <r>
    <x v="2"/>
    <x v="28"/>
    <s v="S12000014"/>
    <n v="552"/>
    <n v="1153"/>
    <n v="1705"/>
    <n v="838"/>
    <n v="631"/>
    <n v="207"/>
    <n v="73290"/>
    <n v="2.3260000000000001"/>
    <n v="1.143"/>
    <n v="70431"/>
    <n v="2.4209999999999998"/>
    <n v="1.19"/>
  </r>
  <r>
    <x v="2"/>
    <x v="21"/>
    <s v="S12000015"/>
    <n v="3204"/>
    <n v="3874"/>
    <n v="7078"/>
    <n v="5034"/>
    <n v="3231"/>
    <n v="1803"/>
    <n v="173366"/>
    <n v="4.0830000000000002"/>
    <n v="2.9039999999999999"/>
    <n v="164705"/>
    <n v="4.2969999999999997"/>
    <n v="3.056"/>
  </r>
  <r>
    <x v="2"/>
    <x v="29"/>
    <s v="S12000046"/>
    <n v="2649"/>
    <n v="3737"/>
    <n v="6386"/>
    <n v="3820"/>
    <n v="2864"/>
    <n v="956"/>
    <n v="304013"/>
    <n v="2.101"/>
    <n v="1.2569999999999999"/>
    <n v="287862"/>
    <n v="2.218"/>
    <n v="1.327"/>
  </r>
  <r>
    <x v="2"/>
    <x v="30"/>
    <s v="S12000018"/>
    <n v="758"/>
    <n v="936"/>
    <n v="1694"/>
    <n v="1081"/>
    <n v="685"/>
    <n v="396"/>
    <n v="38787"/>
    <n v="4.367"/>
    <n v="2.7869999999999999"/>
    <n v="37426"/>
    <n v="4.5259999999999998"/>
    <n v="2.8879999999999999"/>
  </r>
  <r>
    <x v="2"/>
    <x v="2"/>
    <s v="S12000044"/>
    <n v="1654"/>
    <n v="2505"/>
    <n v="4159"/>
    <n v="2755"/>
    <n v="2213"/>
    <n v="542"/>
    <n v="152293"/>
    <n v="2.7309999999999999"/>
    <n v="1.8089999999999999"/>
    <n v="149282"/>
    <n v="2.786"/>
    <n v="1.8460000000000001"/>
  </r>
  <r>
    <x v="3"/>
    <x v="19"/>
    <s v="S12000017"/>
    <n v="1215"/>
    <n v="3439"/>
    <n v="4654"/>
    <n v="1906"/>
    <n v="1204"/>
    <n v="702"/>
    <n v="116453"/>
    <n v="3.996"/>
    <n v="1.637"/>
    <n v="107573"/>
    <n v="4.3259999999999996"/>
    <n v="1.772"/>
  </r>
  <r>
    <x v="3"/>
    <x v="26"/>
    <s v="S12000020"/>
    <n v="768"/>
    <n v="1016"/>
    <n v="1784"/>
    <n v="1356"/>
    <n v="709"/>
    <n v="647"/>
    <n v="44454"/>
    <n v="4.0129999999999999"/>
    <n v="3.05"/>
    <n v="41961"/>
    <n v="4.2519999999999998"/>
    <n v="3.2320000000000002"/>
  </r>
  <r>
    <x v="4"/>
    <x v="3"/>
    <s v="S12000033"/>
    <n v="478"/>
    <n v="1669"/>
    <n v="2147"/>
    <n v="692"/>
    <n v="432"/>
    <n v="260"/>
    <n v="116821"/>
    <n v="1.8380000000000001"/>
    <n v="0.59199999999999997"/>
    <n v="106802"/>
    <n v="2.0099999999999998"/>
    <n v="0.64800000000000002"/>
  </r>
  <r>
    <x v="4"/>
    <x v="19"/>
    <s v="S12000017"/>
    <n v="1288"/>
    <n v="3926"/>
    <n v="5214"/>
    <n v="2127"/>
    <n v="1385"/>
    <n v="742"/>
    <n v="117291"/>
    <n v="4.4450000000000003"/>
    <n v="1.8129999999999999"/>
    <n v="108319"/>
    <n v="4.8140000000000001"/>
    <n v="1.964"/>
  </r>
  <r>
    <x v="4"/>
    <x v="22"/>
    <s v="S12000024"/>
    <n v="484"/>
    <n v="1014"/>
    <n v="1498"/>
    <n v="716"/>
    <n v="451"/>
    <n v="265"/>
    <n v="71810"/>
    <n v="2.0859999999999999"/>
    <n v="0.997"/>
    <n v="67618"/>
    <n v="2.2149999999999999"/>
    <n v="1.0589999999999999"/>
  </r>
  <r>
    <x v="5"/>
    <x v="5"/>
    <s v="S12000035"/>
    <n v="531"/>
    <n v="939"/>
    <n v="1470"/>
    <n v="831"/>
    <n v="480"/>
    <n v="351"/>
    <n v="48020"/>
    <n v="3.0609999999999999"/>
    <n v="1.7310000000000001"/>
    <n v="41630"/>
    <n v="3.5310000000000001"/>
    <n v="1.996"/>
  </r>
  <r>
    <x v="5"/>
    <x v="23"/>
    <s v="S12000006"/>
    <n v="1023"/>
    <n v="726"/>
    <n v="1749"/>
    <n v="1547"/>
    <n v="1100"/>
    <n v="447"/>
    <n v="74823"/>
    <n v="2.3380000000000001"/>
    <n v="2.0680000000000001"/>
    <n v="69586"/>
    <n v="2.5129999999999999"/>
    <n v="2.2229999999999999"/>
  </r>
  <r>
    <x v="5"/>
    <x v="28"/>
    <s v="S12000014"/>
    <n v="533"/>
    <n v="1326"/>
    <n v="1859"/>
    <n v="798"/>
    <n v="606"/>
    <n v="192"/>
    <n v="74826"/>
    <n v="2.484"/>
    <n v="1.0660000000000001"/>
    <n v="72267"/>
    <n v="2.5720000000000001"/>
    <n v="1.1040000000000001"/>
  </r>
  <r>
    <x v="5"/>
    <x v="21"/>
    <s v="S12000015"/>
    <n v="2778"/>
    <n v="3429"/>
    <n v="6207"/>
    <n v="4403"/>
    <n v="2925"/>
    <n v="1478"/>
    <n v="177084"/>
    <n v="3.5049999999999999"/>
    <n v="2.4860000000000002"/>
    <n v="167944"/>
    <n v="3.6960000000000002"/>
    <n v="2.6219999999999999"/>
  </r>
  <r>
    <x v="5"/>
    <x v="29"/>
    <s v="S12000046"/>
    <n v="2992"/>
    <n v="7063"/>
    <n v="10055"/>
    <n v="4152"/>
    <n v="3266"/>
    <n v="886"/>
    <n v="311447"/>
    <n v="3.2280000000000002"/>
    <n v="1.333"/>
    <n v="292619"/>
    <n v="3.4359999999999999"/>
    <n v="1.419"/>
  </r>
  <r>
    <x v="5"/>
    <x v="30"/>
    <s v="S12000018"/>
    <n v="634"/>
    <n v="895"/>
    <n v="1529"/>
    <n v="933"/>
    <n v="575"/>
    <n v="358"/>
    <n v="38985"/>
    <n v="3.9220000000000002"/>
    <n v="2.3929999999999998"/>
    <n v="37640"/>
    <n v="4.0620000000000003"/>
    <n v="2.4790000000000001"/>
  </r>
  <r>
    <x v="5"/>
    <x v="2"/>
    <s v="S12000044"/>
    <n v="1247"/>
    <n v="2019"/>
    <n v="3266"/>
    <n v="2041"/>
    <n v="1613"/>
    <n v="428"/>
    <n v="155364"/>
    <n v="2.1019999999999999"/>
    <n v="1.3140000000000001"/>
    <n v="151744"/>
    <n v="2.1520000000000001"/>
    <n v="1.345"/>
  </r>
</pivotCacheRecords>
</file>

<file path=xl/pivotCache/pivotCacheRecords24.xml><?xml version="1.0" encoding="utf-8"?>
<pivotCacheRecords xmlns="http://schemas.openxmlformats.org/spreadsheetml/2006/main" xmlns:r="http://schemas.openxmlformats.org/officeDocument/2006/relationships" count="75">
  <r>
    <x v="0"/>
    <x v="0"/>
    <s v="Hospital / Prison"/>
    <n v="334"/>
    <n v="93"/>
    <n v="14"/>
    <n v="164"/>
    <n v="60"/>
    <n v="3"/>
  </r>
  <r>
    <x v="0"/>
    <x v="1"/>
    <s v="Care Home"/>
    <n v="1506"/>
    <n v="191"/>
    <n v="538"/>
    <n v="711"/>
    <n v="15"/>
    <n v="51"/>
  </r>
  <r>
    <x v="0"/>
    <x v="2"/>
    <s v="HMO"/>
    <n v="1947"/>
    <n v="55"/>
    <n v="247"/>
    <n v="1599"/>
    <n v="1"/>
    <n v="45"/>
  </r>
  <r>
    <x v="0"/>
    <x v="3"/>
    <s v="Hostel"/>
    <n v="138"/>
    <n v="83"/>
    <n v="6"/>
    <n v="37"/>
    <n v="12"/>
    <m/>
  </r>
  <r>
    <x v="0"/>
    <x v="4"/>
    <s v="Hotel"/>
    <n v="1109"/>
    <n v="487"/>
    <n v="18"/>
    <n v="517"/>
    <n v="86"/>
    <n v="1"/>
  </r>
  <r>
    <x v="0"/>
    <x v="5"/>
    <s v="Other Sleeping Accommodation"/>
    <n v="251"/>
    <n v="20"/>
    <n v="86"/>
    <n v="137"/>
    <n v="1"/>
    <n v="7"/>
  </r>
  <r>
    <x v="0"/>
    <x v="6"/>
    <s v="Further Education"/>
    <n v="28"/>
    <n v="18"/>
    <m/>
    <n v="9"/>
    <n v="1"/>
    <m/>
  </r>
  <r>
    <x v="0"/>
    <x v="7"/>
    <s v="Public Building"/>
    <n v="68"/>
    <n v="37"/>
    <n v="2"/>
    <n v="27"/>
    <m/>
    <n v="2"/>
  </r>
  <r>
    <x v="0"/>
    <x v="8"/>
    <s v="Licensed Premises"/>
    <n v="596"/>
    <n v="83"/>
    <n v="165"/>
    <n v="331"/>
    <n v="3"/>
    <n v="14"/>
  </r>
  <r>
    <x v="0"/>
    <x v="9"/>
    <s v="School"/>
    <n v="260"/>
    <n v="23"/>
    <n v="113"/>
    <n v="114"/>
    <n v="2"/>
    <n v="8"/>
  </r>
  <r>
    <x v="0"/>
    <x v="10"/>
    <s v="Shop"/>
    <n v="683"/>
    <n v="222"/>
    <n v="259"/>
    <n v="173"/>
    <n v="2"/>
    <n v="27"/>
  </r>
  <r>
    <x v="0"/>
    <x v="11"/>
    <s v="Other Premises Open to Public"/>
    <n v="356"/>
    <n v="165"/>
    <n v="13"/>
    <n v="170"/>
    <n v="5"/>
    <n v="3"/>
  </r>
  <r>
    <x v="0"/>
    <x v="12"/>
    <s v="Factory or Warehouse"/>
    <n v="412"/>
    <n v="50"/>
    <n v="113"/>
    <n v="243"/>
    <n v="4"/>
    <n v="2"/>
  </r>
  <r>
    <x v="0"/>
    <x v="13"/>
    <s v="Office"/>
    <n v="344"/>
    <n v="68"/>
    <n v="49"/>
    <n v="209"/>
    <n v="1"/>
    <n v="17"/>
  </r>
  <r>
    <x v="0"/>
    <x v="14"/>
    <s v="Other Workplace"/>
    <n v="174"/>
    <n v="32"/>
    <n v="10"/>
    <n v="127"/>
    <n v="5"/>
    <m/>
  </r>
  <r>
    <x v="1"/>
    <x v="0"/>
    <s v="Hospital / Prison"/>
    <n v="451"/>
    <n v="118"/>
    <n v="24"/>
    <n v="255"/>
    <n v="45"/>
    <n v="9"/>
  </r>
  <r>
    <x v="1"/>
    <x v="1"/>
    <s v="Care Home"/>
    <n v="1760"/>
    <n v="241"/>
    <n v="598"/>
    <n v="822"/>
    <n v="24"/>
    <n v="75"/>
  </r>
  <r>
    <x v="1"/>
    <x v="2"/>
    <s v="HMO"/>
    <n v="3062"/>
    <n v="91"/>
    <n v="272"/>
    <n v="2548"/>
    <n v="10"/>
    <n v="141"/>
  </r>
  <r>
    <x v="1"/>
    <x v="3"/>
    <s v="Hostel"/>
    <n v="119"/>
    <n v="43"/>
    <n v="5"/>
    <n v="49"/>
    <n v="21"/>
    <n v="1"/>
  </r>
  <r>
    <x v="1"/>
    <x v="4"/>
    <s v="Hotel"/>
    <n v="1263"/>
    <n v="329"/>
    <n v="53"/>
    <n v="815"/>
    <n v="65"/>
    <n v="1"/>
  </r>
  <r>
    <x v="1"/>
    <x v="5"/>
    <s v="Other Sleeping Accommodation"/>
    <n v="351"/>
    <n v="41"/>
    <n v="82"/>
    <n v="198"/>
    <n v="1"/>
    <n v="29"/>
  </r>
  <r>
    <x v="1"/>
    <x v="6"/>
    <s v="Further Education"/>
    <n v="36"/>
    <n v="15"/>
    <m/>
    <n v="21"/>
    <m/>
    <m/>
  </r>
  <r>
    <x v="1"/>
    <x v="7"/>
    <s v="Public Building"/>
    <n v="49"/>
    <n v="24"/>
    <n v="3"/>
    <n v="22"/>
    <m/>
    <m/>
  </r>
  <r>
    <x v="1"/>
    <x v="8"/>
    <s v="Licensed Premises"/>
    <n v="494"/>
    <n v="74"/>
    <n v="148"/>
    <n v="250"/>
    <n v="5"/>
    <n v="17"/>
  </r>
  <r>
    <x v="1"/>
    <x v="9"/>
    <s v="School"/>
    <n v="228"/>
    <n v="41"/>
    <n v="53"/>
    <n v="125"/>
    <m/>
    <n v="9"/>
  </r>
  <r>
    <x v="1"/>
    <x v="10"/>
    <s v="Shop"/>
    <n v="639"/>
    <n v="172"/>
    <n v="197"/>
    <n v="228"/>
    <n v="6"/>
    <n v="36"/>
  </r>
  <r>
    <x v="1"/>
    <x v="11"/>
    <s v="Other Premises Open to Public"/>
    <n v="320"/>
    <n v="84"/>
    <n v="8"/>
    <n v="217"/>
    <n v="7"/>
    <n v="4"/>
  </r>
  <r>
    <x v="1"/>
    <x v="12"/>
    <s v="Factory or Warehouse"/>
    <n v="485"/>
    <n v="44"/>
    <n v="170"/>
    <n v="267"/>
    <n v="3"/>
    <n v="1"/>
  </r>
  <r>
    <x v="1"/>
    <x v="13"/>
    <s v="Office"/>
    <n v="379"/>
    <n v="84"/>
    <n v="35"/>
    <n v="240"/>
    <n v="5"/>
    <n v="15"/>
  </r>
  <r>
    <x v="1"/>
    <x v="14"/>
    <s v="Other Workplace"/>
    <n v="198"/>
    <n v="26"/>
    <n v="39"/>
    <n v="128"/>
    <n v="5"/>
    <m/>
  </r>
  <r>
    <x v="2"/>
    <x v="0"/>
    <s v="Hospital / Prison"/>
    <n v="396"/>
    <n v="51"/>
    <n v="17"/>
    <n v="314"/>
    <n v="6"/>
    <n v="8"/>
  </r>
  <r>
    <x v="2"/>
    <x v="1"/>
    <s v="Care Home"/>
    <n v="1719"/>
    <n v="219"/>
    <n v="638"/>
    <n v="783"/>
    <n v="12"/>
    <n v="67"/>
  </r>
  <r>
    <x v="2"/>
    <x v="2"/>
    <s v="HMO"/>
    <n v="2650"/>
    <n v="106"/>
    <n v="343"/>
    <n v="2130"/>
    <n v="2"/>
    <n v="69"/>
  </r>
  <r>
    <x v="2"/>
    <x v="3"/>
    <s v="Hostel"/>
    <n v="128"/>
    <n v="27"/>
    <n v="10"/>
    <n v="83"/>
    <n v="3"/>
    <n v="5"/>
  </r>
  <r>
    <x v="2"/>
    <x v="4"/>
    <s v="Hotel"/>
    <n v="1138"/>
    <n v="248"/>
    <n v="57"/>
    <n v="800"/>
    <n v="33"/>
    <m/>
  </r>
  <r>
    <x v="2"/>
    <x v="5"/>
    <s v="Other Sleeping Accommodation"/>
    <n v="371"/>
    <n v="35"/>
    <n v="84"/>
    <n v="245"/>
    <m/>
    <n v="7"/>
  </r>
  <r>
    <x v="2"/>
    <x v="6"/>
    <s v="Further Education"/>
    <n v="21"/>
    <n v="3"/>
    <m/>
    <n v="16"/>
    <n v="1"/>
    <n v="1"/>
  </r>
  <r>
    <x v="2"/>
    <x v="7"/>
    <s v="Public Building"/>
    <n v="66"/>
    <n v="10"/>
    <n v="1"/>
    <n v="55"/>
    <m/>
    <m/>
  </r>
  <r>
    <x v="2"/>
    <x v="8"/>
    <s v="Licensed Premises"/>
    <n v="482"/>
    <n v="85"/>
    <n v="55"/>
    <n v="327"/>
    <n v="8"/>
    <n v="7"/>
  </r>
  <r>
    <x v="2"/>
    <x v="9"/>
    <s v="School"/>
    <n v="363"/>
    <n v="55"/>
    <n v="38"/>
    <n v="241"/>
    <n v="10"/>
    <n v="19"/>
  </r>
  <r>
    <x v="2"/>
    <x v="10"/>
    <s v="Shop"/>
    <n v="523"/>
    <n v="52"/>
    <n v="46"/>
    <n v="346"/>
    <n v="2"/>
    <n v="77"/>
  </r>
  <r>
    <x v="2"/>
    <x v="11"/>
    <s v="Other Premises Open to Public"/>
    <n v="235"/>
    <n v="59"/>
    <n v="8"/>
    <n v="160"/>
    <n v="2"/>
    <n v="6"/>
  </r>
  <r>
    <x v="2"/>
    <x v="12"/>
    <s v="Factory or Warehouse"/>
    <n v="329"/>
    <n v="52"/>
    <n v="49"/>
    <n v="225"/>
    <n v="3"/>
    <m/>
  </r>
  <r>
    <x v="2"/>
    <x v="13"/>
    <s v="Office"/>
    <n v="275"/>
    <n v="46"/>
    <n v="25"/>
    <n v="191"/>
    <n v="8"/>
    <n v="5"/>
  </r>
  <r>
    <x v="2"/>
    <x v="14"/>
    <s v="Other Workplace"/>
    <n v="243"/>
    <n v="56"/>
    <n v="38"/>
    <n v="145"/>
    <n v="4"/>
    <m/>
  </r>
  <r>
    <x v="3"/>
    <x v="0"/>
    <s v="Hospital / Prison"/>
    <n v="367"/>
    <n v="71"/>
    <n v="25"/>
    <n v="262"/>
    <n v="4"/>
    <n v="5"/>
  </r>
  <r>
    <x v="3"/>
    <x v="1"/>
    <s v="Care Home"/>
    <n v="1653"/>
    <n v="201"/>
    <n v="580"/>
    <n v="791"/>
    <n v="9"/>
    <n v="72"/>
  </r>
  <r>
    <x v="3"/>
    <x v="2"/>
    <s v="HMO"/>
    <n v="2077"/>
    <n v="203"/>
    <n v="246"/>
    <n v="1559"/>
    <m/>
    <n v="69"/>
  </r>
  <r>
    <x v="3"/>
    <x v="3"/>
    <s v="Hostel"/>
    <n v="104"/>
    <n v="21"/>
    <n v="12"/>
    <n v="63"/>
    <n v="2"/>
    <n v="6"/>
  </r>
  <r>
    <x v="3"/>
    <x v="4"/>
    <s v="Hotel"/>
    <n v="1167"/>
    <n v="256"/>
    <n v="73"/>
    <n v="819"/>
    <n v="17"/>
    <n v="2"/>
  </r>
  <r>
    <x v="3"/>
    <x v="5"/>
    <s v="Other Sleeping Accommodation"/>
    <n v="408"/>
    <n v="53"/>
    <n v="81"/>
    <n v="273"/>
    <m/>
    <n v="1"/>
  </r>
  <r>
    <x v="3"/>
    <x v="6"/>
    <s v="Further Education"/>
    <n v="37"/>
    <n v="14"/>
    <m/>
    <n v="21"/>
    <n v="1"/>
    <n v="1"/>
  </r>
  <r>
    <x v="3"/>
    <x v="7"/>
    <s v="Public Building"/>
    <n v="59"/>
    <n v="12"/>
    <n v="2"/>
    <n v="42"/>
    <n v="2"/>
    <n v="1"/>
  </r>
  <r>
    <x v="3"/>
    <x v="8"/>
    <s v="Licensed Premises"/>
    <n v="332"/>
    <n v="70"/>
    <n v="35"/>
    <n v="219"/>
    <n v="3"/>
    <n v="5"/>
  </r>
  <r>
    <x v="3"/>
    <x v="9"/>
    <s v="School"/>
    <n v="268"/>
    <n v="29"/>
    <n v="35"/>
    <n v="178"/>
    <n v="2"/>
    <n v="24"/>
  </r>
  <r>
    <x v="3"/>
    <x v="10"/>
    <s v="Shop"/>
    <n v="362"/>
    <n v="55"/>
    <n v="48"/>
    <n v="231"/>
    <n v="1"/>
    <n v="27"/>
  </r>
  <r>
    <x v="3"/>
    <x v="11"/>
    <s v="Other Premises Open to Public"/>
    <n v="240"/>
    <n v="62"/>
    <n v="6"/>
    <n v="166"/>
    <n v="2"/>
    <n v="4"/>
  </r>
  <r>
    <x v="3"/>
    <x v="12"/>
    <s v="Factory or Warehouse"/>
    <n v="228"/>
    <n v="44"/>
    <n v="32"/>
    <n v="150"/>
    <m/>
    <n v="2"/>
  </r>
  <r>
    <x v="3"/>
    <x v="13"/>
    <s v="Office"/>
    <n v="220"/>
    <n v="55"/>
    <n v="18"/>
    <n v="140"/>
    <n v="3"/>
    <n v="4"/>
  </r>
  <r>
    <x v="3"/>
    <x v="14"/>
    <s v="Other Workplace"/>
    <n v="113"/>
    <n v="17"/>
    <n v="19"/>
    <n v="72"/>
    <n v="4"/>
    <n v="1"/>
  </r>
  <r>
    <x v="4"/>
    <x v="0"/>
    <s v="Hospital / Prison"/>
    <n v="471"/>
    <n v="70"/>
    <n v="36"/>
    <n v="353"/>
    <n v="5"/>
    <n v="7"/>
  </r>
  <r>
    <x v="4"/>
    <x v="1"/>
    <s v="Care Home"/>
    <n v="1775"/>
    <n v="201"/>
    <n v="668"/>
    <n v="807"/>
    <n v="7"/>
    <n v="92"/>
  </r>
  <r>
    <x v="4"/>
    <x v="2"/>
    <s v="HMO"/>
    <n v="1862"/>
    <n v="109"/>
    <n v="263"/>
    <n v="1407"/>
    <n v="2"/>
    <n v="81"/>
  </r>
  <r>
    <x v="4"/>
    <x v="3"/>
    <s v="Hostel"/>
    <n v="88"/>
    <n v="12"/>
    <n v="10"/>
    <n v="59"/>
    <n v="2"/>
    <n v="5"/>
  </r>
  <r>
    <x v="4"/>
    <x v="4"/>
    <s v="Hotel"/>
    <n v="1030"/>
    <n v="209"/>
    <n v="70"/>
    <n v="734"/>
    <n v="17"/>
    <m/>
  </r>
  <r>
    <x v="4"/>
    <x v="5"/>
    <s v="Other Sleeping Accommodation"/>
    <n v="323"/>
    <n v="28"/>
    <n v="92"/>
    <n v="199"/>
    <m/>
    <n v="4"/>
  </r>
  <r>
    <x v="4"/>
    <x v="6"/>
    <s v="Further Education"/>
    <n v="31"/>
    <n v="5"/>
    <n v="2"/>
    <n v="23"/>
    <m/>
    <n v="1"/>
  </r>
  <r>
    <x v="4"/>
    <x v="7"/>
    <s v="Public Building"/>
    <n v="60"/>
    <n v="14"/>
    <n v="2"/>
    <n v="43"/>
    <m/>
    <n v="1"/>
  </r>
  <r>
    <x v="4"/>
    <x v="8"/>
    <s v="Licensed Premises"/>
    <n v="374"/>
    <n v="84"/>
    <n v="36"/>
    <n v="247"/>
    <n v="1"/>
    <n v="6"/>
  </r>
  <r>
    <x v="4"/>
    <x v="9"/>
    <s v="School"/>
    <n v="470"/>
    <n v="66"/>
    <n v="41"/>
    <n v="325"/>
    <n v="3"/>
    <n v="35"/>
  </r>
  <r>
    <x v="4"/>
    <x v="10"/>
    <s v="Shop"/>
    <n v="382"/>
    <n v="45"/>
    <n v="49"/>
    <n v="267"/>
    <n v="3"/>
    <n v="18"/>
  </r>
  <r>
    <x v="4"/>
    <x v="11"/>
    <s v="Other Premises Open to Public"/>
    <n v="283"/>
    <n v="59"/>
    <n v="20"/>
    <n v="196"/>
    <n v="6"/>
    <n v="2"/>
  </r>
  <r>
    <x v="4"/>
    <x v="12"/>
    <s v="Factory or Warehouse"/>
    <n v="267"/>
    <n v="51"/>
    <n v="42"/>
    <n v="173"/>
    <n v="1"/>
    <m/>
  </r>
  <r>
    <x v="4"/>
    <x v="13"/>
    <s v="Office"/>
    <n v="267"/>
    <n v="62"/>
    <n v="29"/>
    <n v="170"/>
    <n v="4"/>
    <n v="2"/>
  </r>
  <r>
    <x v="4"/>
    <x v="14"/>
    <s v="Other Workplace"/>
    <n v="189"/>
    <n v="33"/>
    <n v="34"/>
    <n v="121"/>
    <n v="1"/>
    <m/>
  </r>
</pivotCacheRecords>
</file>

<file path=xl/pivotCache/pivotCacheRecords25.xml><?xml version="1.0" encoding="utf-8"?>
<pivotCacheRecords xmlns="http://schemas.openxmlformats.org/spreadsheetml/2006/main" xmlns:r="http://schemas.openxmlformats.org/officeDocument/2006/relationships" count="32">
  <r>
    <x v="0"/>
    <s v="S12000033"/>
    <n v="8"/>
    <n v="1"/>
    <n v="1"/>
    <n v="1"/>
  </r>
  <r>
    <x v="1"/>
    <s v="S12000034"/>
    <n v="1"/>
    <n v="3"/>
    <n v="1"/>
    <n v="1"/>
  </r>
  <r>
    <x v="2"/>
    <s v="S12000041"/>
    <m/>
    <m/>
    <m/>
    <m/>
  </r>
  <r>
    <x v="3"/>
    <s v="S12000035"/>
    <n v="1"/>
    <n v="3"/>
    <m/>
    <n v="1"/>
  </r>
  <r>
    <x v="4"/>
    <s v="S12000036"/>
    <n v="6"/>
    <n v="5"/>
    <n v="2"/>
    <n v="8"/>
  </r>
  <r>
    <x v="5"/>
    <s v="S12000005"/>
    <n v="1"/>
    <m/>
    <m/>
    <m/>
  </r>
  <r>
    <x v="6"/>
    <s v="S12000006"/>
    <n v="2"/>
    <n v="1"/>
    <m/>
    <m/>
  </r>
  <r>
    <x v="7"/>
    <s v="S12000042"/>
    <n v="2"/>
    <n v="9"/>
    <n v="3"/>
    <n v="3"/>
  </r>
  <r>
    <x v="8"/>
    <s v="S12000008"/>
    <n v="3"/>
    <n v="1"/>
    <n v="1"/>
    <n v="3"/>
  </r>
  <r>
    <x v="9"/>
    <s v="S12000045"/>
    <n v="1"/>
    <n v="3"/>
    <m/>
    <n v="4"/>
  </r>
  <r>
    <x v="10"/>
    <s v="S12000010"/>
    <n v="2"/>
    <n v="2"/>
    <m/>
    <m/>
  </r>
  <r>
    <x v="11"/>
    <s v="S12000011"/>
    <m/>
    <m/>
    <m/>
    <m/>
  </r>
  <r>
    <x v="12"/>
    <s v="S12000014"/>
    <n v="5"/>
    <n v="2"/>
    <m/>
    <m/>
  </r>
  <r>
    <x v="13"/>
    <s v="S12000047"/>
    <n v="6"/>
    <m/>
    <n v="3"/>
    <n v="6"/>
  </r>
  <r>
    <x v="14"/>
    <s v="S12000046"/>
    <n v="16"/>
    <n v="19"/>
    <n v="20"/>
    <n v="23"/>
  </r>
  <r>
    <x v="15"/>
    <s v="S12000017"/>
    <n v="2"/>
    <n v="1"/>
    <m/>
    <m/>
  </r>
  <r>
    <x v="16"/>
    <s v="S12000018"/>
    <n v="4"/>
    <n v="4"/>
    <n v="3"/>
    <n v="2"/>
  </r>
  <r>
    <x v="17"/>
    <s v="S12000019"/>
    <m/>
    <n v="3"/>
    <n v="2"/>
    <n v="1"/>
  </r>
  <r>
    <x v="18"/>
    <s v="S12000020"/>
    <m/>
    <m/>
    <m/>
    <n v="1"/>
  </r>
  <r>
    <x v="19"/>
    <s v="S12000013"/>
    <m/>
    <m/>
    <m/>
    <m/>
  </r>
  <r>
    <x v="20"/>
    <s v="S12000021"/>
    <n v="4"/>
    <n v="5"/>
    <n v="2"/>
    <n v="2"/>
  </r>
  <r>
    <x v="21"/>
    <s v="S12000044"/>
    <n v="7"/>
    <n v="3"/>
    <n v="6"/>
    <n v="3"/>
  </r>
  <r>
    <x v="22"/>
    <s v="S12000023"/>
    <m/>
    <m/>
    <m/>
    <m/>
  </r>
  <r>
    <x v="23"/>
    <s v="S12000024"/>
    <m/>
    <m/>
    <m/>
    <m/>
  </r>
  <r>
    <x v="24"/>
    <s v="S12000038"/>
    <n v="3"/>
    <n v="2"/>
    <n v="1"/>
    <n v="1"/>
  </r>
  <r>
    <x v="25"/>
    <s v="S12000026"/>
    <m/>
    <n v="2"/>
    <n v="3"/>
    <n v="3"/>
  </r>
  <r>
    <x v="26"/>
    <s v="S12000027"/>
    <m/>
    <m/>
    <m/>
    <m/>
  </r>
  <r>
    <x v="27"/>
    <s v="S12000028"/>
    <n v="3"/>
    <m/>
    <n v="1"/>
    <m/>
  </r>
  <r>
    <x v="28"/>
    <s v="S12000029"/>
    <n v="5"/>
    <n v="2"/>
    <m/>
    <n v="1"/>
  </r>
  <r>
    <x v="29"/>
    <s v="S12000030"/>
    <n v="2"/>
    <n v="3"/>
    <m/>
    <n v="1"/>
  </r>
  <r>
    <x v="30"/>
    <s v="S12000039"/>
    <n v="2"/>
    <n v="1"/>
    <m/>
    <n v="2"/>
  </r>
  <r>
    <x v="31"/>
    <s v="S12000040"/>
    <n v="4"/>
    <n v="3"/>
    <n v="4"/>
    <n v="5"/>
  </r>
</pivotCacheRecords>
</file>

<file path=xl/pivotCache/pivotCacheRecords26.xml><?xml version="1.0" encoding="utf-8"?>
<pivotCacheRecords xmlns="http://schemas.openxmlformats.org/spreadsheetml/2006/main" xmlns:r="http://schemas.openxmlformats.org/officeDocument/2006/relationships" count="24">
  <r>
    <x v="0"/>
    <x v="0"/>
    <n v="223"/>
    <m/>
    <m/>
    <n v="52"/>
    <n v="103"/>
    <n v="5"/>
    <n v="11"/>
    <n v="52"/>
  </r>
  <r>
    <x v="0"/>
    <x v="1"/>
    <n v="2940"/>
    <m/>
    <m/>
    <n v="535"/>
    <n v="2127"/>
    <m/>
    <m/>
    <n v="278"/>
  </r>
  <r>
    <x v="0"/>
    <x v="2"/>
    <n v="359"/>
    <n v="0"/>
    <n v="0"/>
    <n v="73"/>
    <n v="277"/>
    <n v="0"/>
    <n v="0"/>
    <n v="9"/>
  </r>
  <r>
    <x v="0"/>
    <x v="3"/>
    <n v="4001"/>
    <n v="28"/>
    <n v="9"/>
    <n v="660"/>
    <n v="2374"/>
    <n v="115"/>
    <n v="136"/>
    <n v="679"/>
  </r>
  <r>
    <x v="1"/>
    <x v="0"/>
    <n v="230"/>
    <m/>
    <m/>
    <n v="52"/>
    <n v="110"/>
    <n v="5"/>
    <n v="13"/>
    <n v="50"/>
  </r>
  <r>
    <x v="1"/>
    <x v="1"/>
    <n v="2950"/>
    <m/>
    <m/>
    <n v="546"/>
    <n v="2124"/>
    <m/>
    <m/>
    <n v="280"/>
  </r>
  <r>
    <x v="1"/>
    <x v="2"/>
    <n v="378"/>
    <n v="0"/>
    <n v="0"/>
    <n v="44"/>
    <n v="296"/>
    <n v="0"/>
    <n v="0"/>
    <n v="38"/>
  </r>
  <r>
    <x v="1"/>
    <x v="3"/>
    <n v="3856"/>
    <n v="33"/>
    <n v="7"/>
    <n v="634"/>
    <n v="2285"/>
    <n v="103"/>
    <n v="130"/>
    <n v="664"/>
  </r>
  <r>
    <x v="2"/>
    <x v="0"/>
    <n v="203"/>
    <m/>
    <m/>
    <n v="44"/>
    <n v="95"/>
    <n v="6"/>
    <n v="7"/>
    <n v="51"/>
  </r>
  <r>
    <x v="2"/>
    <x v="1"/>
    <n v="2870"/>
    <m/>
    <m/>
    <n v="543"/>
    <n v="2065"/>
    <m/>
    <m/>
    <n v="262"/>
  </r>
  <r>
    <x v="2"/>
    <x v="2"/>
    <n v="342"/>
    <n v="0"/>
    <n v="0"/>
    <n v="46"/>
    <n v="260"/>
    <n v="0"/>
    <n v="0"/>
    <n v="36"/>
  </r>
  <r>
    <x v="2"/>
    <x v="3"/>
    <n v="3690"/>
    <n v="35"/>
    <n v="4"/>
    <n v="600"/>
    <n v="2258"/>
    <n v="90"/>
    <n v="126"/>
    <n v="577"/>
  </r>
  <r>
    <x v="3"/>
    <x v="0"/>
    <n v="165"/>
    <m/>
    <m/>
    <n v="31"/>
    <n v="80"/>
    <n v="5"/>
    <n v="8"/>
    <n v="41"/>
  </r>
  <r>
    <x v="3"/>
    <x v="1"/>
    <n v="2870"/>
    <m/>
    <m/>
    <n v="549"/>
    <n v="2061"/>
    <m/>
    <m/>
    <n v="260"/>
  </r>
  <r>
    <x v="3"/>
    <x v="2"/>
    <n v="316"/>
    <n v="0"/>
    <n v="0"/>
    <n v="42"/>
    <n v="238"/>
    <n v="0"/>
    <n v="0"/>
    <n v="36"/>
  </r>
  <r>
    <x v="3"/>
    <x v="3"/>
    <n v="3645"/>
    <n v="34"/>
    <n v="4"/>
    <n v="635"/>
    <n v="2161"/>
    <n v="70"/>
    <n v="151"/>
    <n v="590"/>
  </r>
  <r>
    <x v="4"/>
    <x v="0"/>
    <n v="189"/>
    <m/>
    <m/>
    <n v="27"/>
    <n v="106"/>
    <n v="5"/>
    <n v="8"/>
    <n v="43"/>
  </r>
  <r>
    <x v="4"/>
    <x v="1"/>
    <n v="2863"/>
    <m/>
    <m/>
    <n v="525"/>
    <n v="2077"/>
    <m/>
    <m/>
    <n v="261"/>
  </r>
  <r>
    <x v="4"/>
    <x v="2"/>
    <n v="332"/>
    <m/>
    <m/>
    <n v="39"/>
    <n v="256"/>
    <m/>
    <m/>
    <n v="37"/>
  </r>
  <r>
    <x v="4"/>
    <x v="3"/>
    <n v="3546"/>
    <n v="34"/>
    <n v="4"/>
    <n v="689"/>
    <n v="1989"/>
    <n v="74"/>
    <n v="153"/>
    <n v="603"/>
  </r>
  <r>
    <x v="5"/>
    <x v="0"/>
    <n v="207"/>
    <n v="1"/>
    <m/>
    <n v="27"/>
    <n v="124"/>
    <n v="4"/>
    <n v="9"/>
    <n v="42"/>
  </r>
  <r>
    <x v="5"/>
    <x v="1"/>
    <n v="2953"/>
    <m/>
    <m/>
    <n v="533"/>
    <n v="2141"/>
    <m/>
    <m/>
    <n v="279"/>
  </r>
  <r>
    <x v="5"/>
    <x v="2"/>
    <n v="317"/>
    <m/>
    <m/>
    <n v="40"/>
    <n v="240"/>
    <m/>
    <m/>
    <n v="37"/>
  </r>
  <r>
    <x v="5"/>
    <x v="3"/>
    <n v="3637"/>
    <n v="33"/>
    <n v="4"/>
    <n v="687"/>
    <n v="2075"/>
    <n v="80"/>
    <n v="147"/>
    <n v="611"/>
  </r>
</pivotCacheRecords>
</file>

<file path=xl/pivotCache/pivotCacheRecords27.xml><?xml version="1.0" encoding="utf-8"?>
<pivotCacheRecords xmlns="http://schemas.openxmlformats.org/spreadsheetml/2006/main" xmlns:r="http://schemas.openxmlformats.org/officeDocument/2006/relationships" count="111">
  <r>
    <x v="0"/>
    <x v="0"/>
    <x v="0"/>
    <n v="51.01"/>
    <n v="45.01"/>
    <n v="6"/>
  </r>
  <r>
    <x v="0"/>
    <x v="0"/>
    <x v="1"/>
    <n v="94.39"/>
    <n v="85.39"/>
    <n v="9"/>
  </r>
  <r>
    <x v="0"/>
    <x v="0"/>
    <x v="2"/>
    <n v="5"/>
    <n v="4"/>
    <n v="1"/>
  </r>
  <r>
    <x v="0"/>
    <x v="0"/>
    <x v="3"/>
    <n v="11"/>
    <n v="9"/>
    <n v="2"/>
  </r>
  <r>
    <x v="0"/>
    <x v="0"/>
    <x v="4"/>
    <n v="51.56"/>
    <n v="45.56"/>
    <n v="6"/>
  </r>
  <r>
    <x v="0"/>
    <x v="1"/>
    <x v="0"/>
    <n v="489.46"/>
    <n v="17.760000000000002"/>
    <n v="471.7"/>
  </r>
  <r>
    <x v="0"/>
    <x v="1"/>
    <x v="1"/>
    <n v="1913.55"/>
    <n v="132.88999999999999"/>
    <n v="1780.66"/>
  </r>
  <r>
    <x v="0"/>
    <x v="1"/>
    <x v="4"/>
    <n v="262.12"/>
    <n v="10"/>
    <n v="252.12"/>
  </r>
  <r>
    <x v="0"/>
    <x v="2"/>
    <x v="5"/>
    <n v="223.6"/>
    <n v="197.5"/>
    <n v="26.1"/>
  </r>
  <r>
    <x v="0"/>
    <x v="2"/>
    <x v="6"/>
    <m/>
    <m/>
    <m/>
  </r>
  <r>
    <x v="0"/>
    <x v="2"/>
    <x v="7"/>
    <n v="42.3"/>
    <n v="25.7"/>
    <n v="16.600000000000001"/>
  </r>
  <r>
    <x v="0"/>
    <x v="2"/>
    <x v="8"/>
    <n v="69.7"/>
    <n v="31.7"/>
    <n v="38"/>
  </r>
  <r>
    <x v="0"/>
    <x v="2"/>
    <x v="9"/>
    <n v="256.39999999999998"/>
    <n v="39.200000000000003"/>
    <n v="217.2"/>
  </r>
  <r>
    <x v="0"/>
    <x v="2"/>
    <x v="10"/>
    <n v="19.8"/>
    <n v="6.8"/>
    <n v="13"/>
  </r>
  <r>
    <x v="0"/>
    <x v="2"/>
    <x v="11"/>
    <n v="199.5"/>
    <n v="119.8"/>
    <n v="79.7"/>
  </r>
  <r>
    <x v="0"/>
    <x v="3"/>
    <x v="12"/>
    <n v="28"/>
    <m/>
    <n v="28"/>
  </r>
  <r>
    <x v="0"/>
    <x v="3"/>
    <x v="13"/>
    <n v="9"/>
    <m/>
    <n v="9"/>
  </r>
  <r>
    <x v="0"/>
    <x v="3"/>
    <x v="0"/>
    <n v="660"/>
    <n v="26"/>
    <n v="634"/>
  </r>
  <r>
    <x v="0"/>
    <x v="3"/>
    <x v="1"/>
    <n v="2373.7600000000002"/>
    <n v="106"/>
    <n v="2267.7600000000002"/>
  </r>
  <r>
    <x v="0"/>
    <x v="3"/>
    <x v="2"/>
    <n v="115"/>
    <n v="3"/>
    <n v="112"/>
  </r>
  <r>
    <x v="0"/>
    <x v="3"/>
    <x v="3"/>
    <n v="136"/>
    <n v="2"/>
    <n v="134"/>
  </r>
  <r>
    <x v="0"/>
    <x v="3"/>
    <x v="4"/>
    <n v="679"/>
    <n v="22"/>
    <n v="657"/>
  </r>
  <r>
    <x v="1"/>
    <x v="0"/>
    <x v="0"/>
    <n v="50.79"/>
    <n v="42.79"/>
    <n v="8"/>
  </r>
  <r>
    <x v="1"/>
    <x v="0"/>
    <x v="1"/>
    <n v="102.69"/>
    <n v="81.69"/>
    <n v="21"/>
  </r>
  <r>
    <x v="1"/>
    <x v="0"/>
    <x v="2"/>
    <n v="5"/>
    <n v="4"/>
    <n v="1"/>
  </r>
  <r>
    <x v="1"/>
    <x v="0"/>
    <x v="3"/>
    <n v="12.85"/>
    <n v="10.85"/>
    <n v="2"/>
  </r>
  <r>
    <x v="1"/>
    <x v="0"/>
    <x v="4"/>
    <n v="49.46"/>
    <n v="43.46"/>
    <n v="6"/>
  </r>
  <r>
    <x v="1"/>
    <x v="1"/>
    <x v="0"/>
    <n v="498"/>
    <n v="16.5"/>
    <n v="481.5"/>
  </r>
  <r>
    <x v="1"/>
    <x v="1"/>
    <x v="1"/>
    <n v="1906.75"/>
    <n v="128.25"/>
    <n v="1778.5"/>
  </r>
  <r>
    <x v="1"/>
    <x v="1"/>
    <x v="4"/>
    <n v="263.75"/>
    <n v="12"/>
    <n v="251.75"/>
  </r>
  <r>
    <x v="1"/>
    <x v="2"/>
    <x v="5"/>
    <n v="151.38999999999999"/>
    <n v="135.18"/>
    <n v="16.21"/>
  </r>
  <r>
    <x v="1"/>
    <x v="2"/>
    <x v="6"/>
    <n v="2"/>
    <n v="2"/>
    <n v="0"/>
  </r>
  <r>
    <x v="1"/>
    <x v="2"/>
    <x v="7"/>
    <n v="55.47"/>
    <n v="36.869999999999997"/>
    <n v="18.600000000000001"/>
  </r>
  <r>
    <x v="1"/>
    <x v="2"/>
    <x v="8"/>
    <n v="45.99"/>
    <n v="22.99"/>
    <n v="23"/>
  </r>
  <r>
    <x v="1"/>
    <x v="2"/>
    <x v="9"/>
    <n v="325.23"/>
    <n v="94.63"/>
    <n v="230.6"/>
  </r>
  <r>
    <x v="1"/>
    <x v="2"/>
    <x v="10"/>
    <n v="36.9"/>
    <n v="19.899999999999999"/>
    <n v="17"/>
  </r>
  <r>
    <x v="1"/>
    <x v="2"/>
    <x v="11"/>
    <n v="128.97999999999999"/>
    <n v="65.05"/>
    <n v="63.93"/>
  </r>
  <r>
    <x v="1"/>
    <x v="3"/>
    <x v="12"/>
    <n v="33"/>
    <m/>
    <n v="33"/>
  </r>
  <r>
    <x v="1"/>
    <x v="3"/>
    <x v="13"/>
    <n v="7"/>
    <m/>
    <n v="7"/>
  </r>
  <r>
    <x v="1"/>
    <x v="3"/>
    <x v="0"/>
    <n v="634"/>
    <n v="24"/>
    <n v="610"/>
  </r>
  <r>
    <x v="1"/>
    <x v="3"/>
    <x v="1"/>
    <n v="2285"/>
    <n v="109"/>
    <n v="2176"/>
  </r>
  <r>
    <x v="1"/>
    <x v="3"/>
    <x v="2"/>
    <n v="103"/>
    <n v="3"/>
    <n v="100"/>
  </r>
  <r>
    <x v="1"/>
    <x v="3"/>
    <x v="3"/>
    <n v="130"/>
    <n v="1"/>
    <n v="129"/>
  </r>
  <r>
    <x v="1"/>
    <x v="3"/>
    <x v="4"/>
    <n v="664"/>
    <n v="27"/>
    <n v="637"/>
  </r>
  <r>
    <x v="2"/>
    <x v="0"/>
    <x v="0"/>
    <n v="43"/>
    <n v="38"/>
    <n v="5"/>
  </r>
  <r>
    <x v="2"/>
    <x v="0"/>
    <x v="1"/>
    <n v="89.02"/>
    <n v="71.02"/>
    <n v="18"/>
  </r>
  <r>
    <x v="2"/>
    <x v="0"/>
    <x v="2"/>
    <n v="6"/>
    <n v="4"/>
    <n v="2"/>
  </r>
  <r>
    <x v="2"/>
    <x v="0"/>
    <x v="3"/>
    <n v="6.83"/>
    <n v="6.83"/>
    <m/>
  </r>
  <r>
    <x v="2"/>
    <x v="0"/>
    <x v="4"/>
    <n v="50.31"/>
    <n v="43.31"/>
    <n v="7"/>
  </r>
  <r>
    <x v="2"/>
    <x v="1"/>
    <x v="0"/>
    <n v="486.18"/>
    <n v="16.75"/>
    <n v="469.43"/>
  </r>
  <r>
    <x v="2"/>
    <x v="1"/>
    <x v="1"/>
    <n v="1792.83"/>
    <n v="116.4"/>
    <n v="1676.43"/>
  </r>
  <r>
    <x v="2"/>
    <x v="1"/>
    <x v="4"/>
    <n v="247.75"/>
    <n v="14"/>
    <n v="233.75"/>
  </r>
  <r>
    <x v="2"/>
    <x v="2"/>
    <x v="5"/>
    <n v="145.72999999999999"/>
    <n v="128.96"/>
    <n v="16.77"/>
  </r>
  <r>
    <x v="2"/>
    <x v="2"/>
    <x v="6"/>
    <n v="3"/>
    <n v="2"/>
    <n v="1"/>
  </r>
  <r>
    <x v="2"/>
    <x v="2"/>
    <x v="7"/>
    <n v="70.709999999999994"/>
    <n v="53.71"/>
    <n v="17"/>
  </r>
  <r>
    <x v="2"/>
    <x v="2"/>
    <x v="8"/>
    <n v="40"/>
    <n v="15"/>
    <n v="25"/>
  </r>
  <r>
    <x v="2"/>
    <x v="2"/>
    <x v="9"/>
    <n v="303.61"/>
    <n v="95.92"/>
    <n v="207.69"/>
  </r>
  <r>
    <x v="2"/>
    <x v="2"/>
    <x v="10"/>
    <n v="33.31"/>
    <n v="17.309999999999999"/>
    <n v="16"/>
  </r>
  <r>
    <x v="2"/>
    <x v="2"/>
    <x v="11"/>
    <n v="122.2"/>
    <n v="57.2"/>
    <n v="65"/>
  </r>
  <r>
    <x v="2"/>
    <x v="3"/>
    <x v="12"/>
    <n v="35"/>
    <n v="0"/>
    <n v="35"/>
  </r>
  <r>
    <x v="2"/>
    <x v="3"/>
    <x v="13"/>
    <n v="4"/>
    <n v="0"/>
    <n v="4"/>
  </r>
  <r>
    <x v="2"/>
    <x v="3"/>
    <x v="0"/>
    <n v="598.35"/>
    <n v="27"/>
    <n v="571.35"/>
  </r>
  <r>
    <x v="2"/>
    <x v="3"/>
    <x v="1"/>
    <n v="2250.79"/>
    <n v="112.89"/>
    <n v="2137.9"/>
  </r>
  <r>
    <x v="2"/>
    <x v="3"/>
    <x v="2"/>
    <n v="90"/>
    <n v="3"/>
    <n v="87"/>
  </r>
  <r>
    <x v="2"/>
    <x v="3"/>
    <x v="3"/>
    <n v="126"/>
    <n v="2"/>
    <n v="124"/>
  </r>
  <r>
    <x v="2"/>
    <x v="3"/>
    <x v="4"/>
    <n v="585.32000000000005"/>
    <n v="22"/>
    <n v="563.32000000000005"/>
  </r>
  <r>
    <x v="3"/>
    <x v="0"/>
    <x v="0"/>
    <n v="26.79"/>
    <n v="22.79"/>
    <n v="4"/>
  </r>
  <r>
    <x v="3"/>
    <x v="0"/>
    <x v="1"/>
    <n v="100.83"/>
    <n v="83.33"/>
    <n v="17.5"/>
  </r>
  <r>
    <x v="3"/>
    <x v="0"/>
    <x v="2"/>
    <n v="5"/>
    <n v="4"/>
    <n v="1"/>
  </r>
  <r>
    <x v="3"/>
    <x v="0"/>
    <x v="3"/>
    <n v="8"/>
    <n v="7"/>
    <n v="1"/>
  </r>
  <r>
    <x v="3"/>
    <x v="0"/>
    <x v="4"/>
    <n v="43"/>
    <n v="36"/>
    <n v="7"/>
  </r>
  <r>
    <x v="3"/>
    <x v="1"/>
    <x v="0"/>
    <n v="477.18"/>
    <n v="18.25"/>
    <n v="458.93"/>
  </r>
  <r>
    <x v="3"/>
    <x v="1"/>
    <x v="1"/>
    <n v="1821.55"/>
    <n v="121.65"/>
    <n v="1699.9"/>
  </r>
  <r>
    <x v="3"/>
    <x v="1"/>
    <x v="4"/>
    <n v="246.25"/>
    <n v="13.75"/>
    <n v="232.5"/>
  </r>
  <r>
    <x v="3"/>
    <x v="2"/>
    <x v="5"/>
    <n v="135.37"/>
    <n v="126.82"/>
    <n v="8.5500000000000007"/>
  </r>
  <r>
    <x v="3"/>
    <x v="2"/>
    <x v="6"/>
    <n v="2"/>
    <n v="1"/>
    <n v="1"/>
  </r>
  <r>
    <x v="3"/>
    <x v="2"/>
    <x v="7"/>
    <n v="75.81"/>
    <n v="53.98"/>
    <n v="21.83"/>
  </r>
  <r>
    <x v="3"/>
    <x v="2"/>
    <x v="8"/>
    <n v="49.71"/>
    <n v="16.71"/>
    <n v="33"/>
  </r>
  <r>
    <x v="3"/>
    <x v="2"/>
    <x v="9"/>
    <n v="354.57"/>
    <n v="133.04"/>
    <n v="221.53"/>
  </r>
  <r>
    <x v="3"/>
    <x v="2"/>
    <x v="10"/>
    <n v="30.86"/>
    <n v="18.36"/>
    <n v="12.5"/>
  </r>
  <r>
    <x v="3"/>
    <x v="2"/>
    <x v="11"/>
    <n v="110.41"/>
    <n v="52.13"/>
    <n v="58.28"/>
  </r>
  <r>
    <x v="3"/>
    <x v="3"/>
    <x v="12"/>
    <n v="34"/>
    <m/>
    <n v="34"/>
  </r>
  <r>
    <x v="3"/>
    <x v="3"/>
    <x v="13"/>
    <n v="4"/>
    <m/>
    <n v="4"/>
  </r>
  <r>
    <x v="3"/>
    <x v="3"/>
    <x v="0"/>
    <n v="689"/>
    <n v="26"/>
    <n v="663"/>
  </r>
  <r>
    <x v="3"/>
    <x v="3"/>
    <x v="1"/>
    <n v="1988.43"/>
    <n v="113.43"/>
    <n v="1875"/>
  </r>
  <r>
    <x v="3"/>
    <x v="3"/>
    <x v="2"/>
    <n v="74"/>
    <n v="2"/>
    <n v="72"/>
  </r>
  <r>
    <x v="3"/>
    <x v="3"/>
    <x v="3"/>
    <n v="153"/>
    <n v="2"/>
    <n v="151"/>
  </r>
  <r>
    <x v="3"/>
    <x v="3"/>
    <x v="4"/>
    <n v="602"/>
    <n v="31"/>
    <n v="571"/>
  </r>
  <r>
    <x v="4"/>
    <x v="0"/>
    <x v="12"/>
    <n v="1"/>
    <n v="1"/>
    <m/>
  </r>
  <r>
    <x v="4"/>
    <x v="0"/>
    <x v="0"/>
    <n v="27"/>
    <n v="21"/>
    <n v="6"/>
  </r>
  <r>
    <x v="4"/>
    <x v="0"/>
    <x v="1"/>
    <n v="119.33"/>
    <n v="98.33"/>
    <n v="21"/>
  </r>
  <r>
    <x v="4"/>
    <x v="0"/>
    <x v="2"/>
    <n v="4"/>
    <n v="3"/>
    <n v="1"/>
  </r>
  <r>
    <x v="4"/>
    <x v="0"/>
    <x v="3"/>
    <n v="9"/>
    <n v="8"/>
    <n v="1"/>
  </r>
  <r>
    <x v="4"/>
    <x v="0"/>
    <x v="4"/>
    <n v="42"/>
    <n v="36"/>
    <n v="6"/>
  </r>
  <r>
    <x v="4"/>
    <x v="1"/>
    <x v="0"/>
    <n v="478.93"/>
    <n v="19"/>
    <n v="459.93"/>
  </r>
  <r>
    <x v="4"/>
    <x v="1"/>
    <x v="1"/>
    <n v="1863.8"/>
    <n v="148.4"/>
    <n v="1715.4"/>
  </r>
  <r>
    <x v="4"/>
    <x v="1"/>
    <x v="4"/>
    <n v="268.25"/>
    <n v="13.5"/>
    <n v="254.75"/>
  </r>
  <r>
    <x v="4"/>
    <x v="2"/>
    <x v="5"/>
    <n v="144.99"/>
    <n v="134.44"/>
    <n v="10.55"/>
  </r>
  <r>
    <x v="4"/>
    <x v="2"/>
    <x v="6"/>
    <n v="3"/>
    <n v="2"/>
    <n v="1"/>
  </r>
  <r>
    <x v="4"/>
    <x v="2"/>
    <x v="7"/>
    <n v="80.400000000000006"/>
    <n v="55.4"/>
    <n v="25"/>
  </r>
  <r>
    <x v="4"/>
    <x v="2"/>
    <x v="8"/>
    <n v="49"/>
    <n v="15"/>
    <n v="34"/>
  </r>
  <r>
    <x v="4"/>
    <x v="2"/>
    <x v="9"/>
    <n v="375.56"/>
    <n v="139.56"/>
    <n v="236"/>
  </r>
  <r>
    <x v="4"/>
    <x v="2"/>
    <x v="10"/>
    <n v="34"/>
    <n v="21"/>
    <n v="13"/>
  </r>
  <r>
    <x v="4"/>
    <x v="2"/>
    <x v="11"/>
    <n v="58.61"/>
    <n v="21.26"/>
    <n v="37.35"/>
  </r>
  <r>
    <x v="4"/>
    <x v="3"/>
    <x v="12"/>
    <n v="33"/>
    <m/>
    <n v="33"/>
  </r>
  <r>
    <x v="4"/>
    <x v="3"/>
    <x v="13"/>
    <n v="4"/>
    <m/>
    <n v="4"/>
  </r>
  <r>
    <x v="4"/>
    <x v="3"/>
    <x v="0"/>
    <n v="687"/>
    <n v="27"/>
    <n v="660"/>
  </r>
  <r>
    <x v="4"/>
    <x v="3"/>
    <x v="1"/>
    <n v="2073.9299999999998"/>
    <n v="130.93"/>
    <n v="1943"/>
  </r>
  <r>
    <x v="4"/>
    <x v="3"/>
    <x v="2"/>
    <n v="80"/>
    <n v="2"/>
    <n v="78"/>
  </r>
  <r>
    <x v="4"/>
    <x v="3"/>
    <x v="3"/>
    <n v="147"/>
    <n v="2"/>
    <n v="145"/>
  </r>
  <r>
    <x v="4"/>
    <x v="3"/>
    <x v="4"/>
    <n v="611"/>
    <n v="33"/>
    <n v="578"/>
  </r>
</pivotCacheRecords>
</file>

<file path=xl/pivotCache/pivotCacheRecords28.xml><?xml version="1.0" encoding="utf-8"?>
<pivotCacheRecords xmlns="http://schemas.openxmlformats.org/spreadsheetml/2006/main" xmlns:r="http://schemas.openxmlformats.org/officeDocument/2006/relationships" count="319">
  <r>
    <x v="0"/>
    <x v="0"/>
    <s v="S12000005"/>
    <x v="0"/>
    <n v="64"/>
    <m/>
    <n v="21"/>
    <m/>
    <n v="0"/>
    <n v="43"/>
  </r>
  <r>
    <x v="0"/>
    <x v="0"/>
    <s v="S12000006"/>
    <x v="1"/>
    <n v="271"/>
    <m/>
    <n v="198"/>
    <m/>
    <n v="4"/>
    <n v="69"/>
  </r>
  <r>
    <x v="0"/>
    <x v="0"/>
    <s v="S12000008"/>
    <x v="2"/>
    <n v="136"/>
    <m/>
    <n v="77"/>
    <m/>
    <n v="0"/>
    <n v="59"/>
  </r>
  <r>
    <x v="0"/>
    <x v="0"/>
    <s v="S12000010"/>
    <x v="3"/>
    <n v="81"/>
    <m/>
    <n v="52"/>
    <m/>
    <n v="0"/>
    <n v="29"/>
  </r>
  <r>
    <x v="0"/>
    <x v="0"/>
    <s v="S12000011"/>
    <x v="4"/>
    <n v="59"/>
    <m/>
    <n v="0"/>
    <m/>
    <n v="0"/>
    <n v="59"/>
  </r>
  <r>
    <x v="0"/>
    <x v="0"/>
    <s v="S12000013"/>
    <x v="5"/>
    <n v="132"/>
    <m/>
    <n v="132"/>
    <m/>
    <n v="0"/>
    <n v="0"/>
  </r>
  <r>
    <x v="0"/>
    <x v="0"/>
    <s v="S12000014"/>
    <x v="6"/>
    <n v="161"/>
    <m/>
    <n v="65"/>
    <m/>
    <n v="0"/>
    <n v="96"/>
  </r>
  <r>
    <x v="0"/>
    <x v="0"/>
    <s v="S12000017"/>
    <x v="7"/>
    <n v="717"/>
    <m/>
    <n v="564"/>
    <m/>
    <n v="72"/>
    <n v="81"/>
  </r>
  <r>
    <x v="0"/>
    <x v="0"/>
    <s v="S12000018"/>
    <x v="8"/>
    <n v="120"/>
    <m/>
    <n v="42"/>
    <m/>
    <n v="0"/>
    <n v="78"/>
  </r>
  <r>
    <x v="0"/>
    <x v="0"/>
    <s v="S12000019"/>
    <x v="9"/>
    <n v="45"/>
    <m/>
    <n v="10"/>
    <m/>
    <n v="0"/>
    <n v="35"/>
  </r>
  <r>
    <x v="0"/>
    <x v="0"/>
    <s v="S12000020"/>
    <x v="10"/>
    <n v="156"/>
    <m/>
    <n v="104"/>
    <m/>
    <n v="32"/>
    <n v="20"/>
  </r>
  <r>
    <x v="0"/>
    <x v="0"/>
    <s v="S12000021"/>
    <x v="11"/>
    <n v="191"/>
    <m/>
    <n v="94"/>
    <m/>
    <n v="21"/>
    <n v="76"/>
  </r>
  <r>
    <x v="0"/>
    <x v="0"/>
    <s v="S12000023"/>
    <x v="12"/>
    <n v="113"/>
    <m/>
    <n v="113"/>
    <m/>
    <n v="0"/>
    <n v="0"/>
  </r>
  <r>
    <x v="0"/>
    <x v="0"/>
    <s v="S12000024"/>
    <x v="13"/>
    <n v="253"/>
    <m/>
    <n v="140"/>
    <m/>
    <n v="25"/>
    <n v="88"/>
  </r>
  <r>
    <x v="0"/>
    <x v="0"/>
    <s v="S12000026"/>
    <x v="14"/>
    <n v="209"/>
    <m/>
    <n v="134"/>
    <m/>
    <n v="0"/>
    <n v="75"/>
  </r>
  <r>
    <x v="0"/>
    <x v="0"/>
    <s v="S12000027"/>
    <x v="15"/>
    <n v="134"/>
    <m/>
    <n v="134"/>
    <m/>
    <n v="0"/>
    <n v="0"/>
  </r>
  <r>
    <x v="0"/>
    <x v="0"/>
    <s v="S12000028"/>
    <x v="16"/>
    <n v="119"/>
    <m/>
    <n v="54"/>
    <m/>
    <n v="0"/>
    <n v="65"/>
  </r>
  <r>
    <x v="0"/>
    <x v="0"/>
    <s v="S12000029"/>
    <x v="17"/>
    <n v="276"/>
    <m/>
    <n v="84"/>
    <m/>
    <n v="2"/>
    <n v="190"/>
  </r>
  <r>
    <x v="0"/>
    <x v="0"/>
    <s v="S12000030"/>
    <x v="18"/>
    <n v="136"/>
    <m/>
    <n v="74"/>
    <m/>
    <n v="0"/>
    <n v="62"/>
  </r>
  <r>
    <x v="0"/>
    <x v="0"/>
    <s v="S12000033"/>
    <x v="19"/>
    <n v="182"/>
    <m/>
    <n v="8"/>
    <m/>
    <n v="0"/>
    <n v="174"/>
  </r>
  <r>
    <x v="0"/>
    <x v="0"/>
    <s v="S12000034"/>
    <x v="20"/>
    <n v="320"/>
    <m/>
    <n v="297"/>
    <m/>
    <n v="0"/>
    <n v="23"/>
  </r>
  <r>
    <x v="0"/>
    <x v="0"/>
    <s v="S12000035"/>
    <x v="21"/>
    <n v="448"/>
    <m/>
    <n v="187"/>
    <m/>
    <n v="203"/>
    <n v="58"/>
  </r>
  <r>
    <x v="0"/>
    <x v="0"/>
    <s v="S12000036"/>
    <x v="22"/>
    <n v="382"/>
    <m/>
    <n v="12"/>
    <m/>
    <n v="0"/>
    <n v="370"/>
  </r>
  <r>
    <x v="0"/>
    <x v="0"/>
    <s v="S12000038"/>
    <x v="23"/>
    <n v="130"/>
    <m/>
    <n v="14"/>
    <m/>
    <n v="0"/>
    <n v="116"/>
  </r>
  <r>
    <x v="0"/>
    <x v="0"/>
    <s v="S12000039"/>
    <x v="24"/>
    <n v="98"/>
    <m/>
    <n v="18"/>
    <m/>
    <n v="0"/>
    <n v="80"/>
  </r>
  <r>
    <x v="0"/>
    <x v="0"/>
    <s v="S12000040"/>
    <x v="25"/>
    <n v="143"/>
    <m/>
    <n v="58"/>
    <m/>
    <n v="0"/>
    <n v="85"/>
  </r>
  <r>
    <x v="0"/>
    <x v="0"/>
    <s v="S12000041"/>
    <x v="26"/>
    <n v="134"/>
    <m/>
    <n v="99"/>
    <m/>
    <n v="0"/>
    <n v="35"/>
  </r>
  <r>
    <x v="0"/>
    <x v="0"/>
    <s v="S12000042"/>
    <x v="27"/>
    <n v="229"/>
    <m/>
    <n v="14"/>
    <m/>
    <n v="0"/>
    <n v="215"/>
  </r>
  <r>
    <x v="0"/>
    <x v="0"/>
    <s v="S12000044"/>
    <x v="28"/>
    <n v="216"/>
    <m/>
    <n v="28"/>
    <m/>
    <n v="0"/>
    <n v="188"/>
  </r>
  <r>
    <x v="0"/>
    <x v="0"/>
    <s v="S12000045"/>
    <x v="29"/>
    <n v="74"/>
    <m/>
    <n v="0"/>
    <m/>
    <n v="0"/>
    <n v="74"/>
  </r>
  <r>
    <x v="0"/>
    <x v="0"/>
    <s v="S12000046"/>
    <x v="30"/>
    <n v="562"/>
    <m/>
    <n v="2"/>
    <m/>
    <n v="0"/>
    <n v="560"/>
  </r>
  <r>
    <x v="0"/>
    <x v="0"/>
    <s v="S12000047"/>
    <x v="31"/>
    <n v="400"/>
    <m/>
    <n v="111"/>
    <m/>
    <n v="0"/>
    <n v="289"/>
  </r>
  <r>
    <x v="0"/>
    <x v="1"/>
    <s v="S39000001"/>
    <x v="19"/>
    <n v="15"/>
    <m/>
    <m/>
    <m/>
    <m/>
    <n v="15"/>
  </r>
  <r>
    <x v="0"/>
    <x v="1"/>
    <s v="S39000002"/>
    <x v="32"/>
    <n v="22"/>
    <m/>
    <m/>
    <m/>
    <m/>
    <n v="22"/>
  </r>
  <r>
    <x v="0"/>
    <x v="1"/>
    <s v="S39000003"/>
    <x v="33"/>
    <n v="23"/>
    <m/>
    <m/>
    <m/>
    <m/>
    <n v="23"/>
  </r>
  <r>
    <x v="0"/>
    <x v="1"/>
    <s v="S39000004"/>
    <x v="1"/>
    <n v="16"/>
    <m/>
    <m/>
    <m/>
    <m/>
    <n v="16"/>
  </r>
  <r>
    <x v="0"/>
    <x v="1"/>
    <s v="S39000006"/>
    <x v="34"/>
    <n v="23"/>
    <m/>
    <m/>
    <m/>
    <m/>
    <n v="23"/>
  </r>
  <r>
    <x v="0"/>
    <x v="1"/>
    <s v="S39000007"/>
    <x v="35"/>
    <n v="21"/>
    <m/>
    <m/>
    <m/>
    <m/>
    <n v="21"/>
  </r>
  <r>
    <x v="0"/>
    <x v="1"/>
    <s v="S39000008"/>
    <x v="36"/>
    <n v="12"/>
    <m/>
    <m/>
    <m/>
    <m/>
    <n v="12"/>
  </r>
  <r>
    <x v="0"/>
    <x v="1"/>
    <s v="S39000009"/>
    <x v="37"/>
    <n v="26"/>
    <m/>
    <m/>
    <m/>
    <m/>
    <n v="26"/>
  </r>
  <r>
    <x v="0"/>
    <x v="1"/>
    <s v="S39000010"/>
    <x v="38"/>
    <n v="13"/>
    <m/>
    <m/>
    <m/>
    <m/>
    <n v="13"/>
  </r>
  <r>
    <x v="0"/>
    <x v="1"/>
    <s v="S39000012"/>
    <x v="30"/>
    <n v="28"/>
    <m/>
    <m/>
    <m/>
    <m/>
    <n v="28"/>
  </r>
  <r>
    <x v="0"/>
    <x v="1"/>
    <s v="S39000013"/>
    <x v="39"/>
    <n v="13"/>
    <m/>
    <m/>
    <m/>
    <m/>
    <n v="13"/>
  </r>
  <r>
    <x v="0"/>
    <x v="1"/>
    <s v="S39000014"/>
    <x v="28"/>
    <n v="14"/>
    <m/>
    <m/>
    <m/>
    <m/>
    <n v="14"/>
  </r>
  <r>
    <x v="0"/>
    <x v="1"/>
    <s v="S39000015"/>
    <x v="17"/>
    <n v="10"/>
    <m/>
    <m/>
    <m/>
    <m/>
    <n v="10"/>
  </r>
  <r>
    <x v="0"/>
    <x v="1"/>
    <s v="S39000016"/>
    <x v="40"/>
    <n v="8"/>
    <m/>
    <m/>
    <m/>
    <m/>
    <n v="8"/>
  </r>
  <r>
    <x v="0"/>
    <x v="1"/>
    <s v="S39000017"/>
    <x v="41"/>
    <n v="9"/>
    <m/>
    <m/>
    <m/>
    <m/>
    <n v="9"/>
  </r>
  <r>
    <x v="0"/>
    <x v="1"/>
    <s v="S39000018"/>
    <x v="42"/>
    <n v="11"/>
    <m/>
    <m/>
    <m/>
    <m/>
    <n v="11"/>
  </r>
  <r>
    <x v="0"/>
    <x v="1"/>
    <s v="S39000019"/>
    <x v="31"/>
    <n v="21"/>
    <m/>
    <m/>
    <m/>
    <m/>
    <n v="21"/>
  </r>
  <r>
    <x v="0"/>
    <x v="2"/>
    <s v="S40000003"/>
    <x v="43"/>
    <n v="527"/>
    <m/>
    <m/>
    <n v="416"/>
    <m/>
    <n v="111"/>
  </r>
  <r>
    <x v="0"/>
    <x v="2"/>
    <s v="S40000004"/>
    <x v="44"/>
    <n v="255"/>
    <m/>
    <m/>
    <n v="175"/>
    <m/>
    <n v="80"/>
  </r>
  <r>
    <x v="0"/>
    <x v="2"/>
    <s v="S40000005"/>
    <x v="45"/>
    <n v="210"/>
    <m/>
    <m/>
    <n v="133"/>
    <m/>
    <n v="77"/>
  </r>
  <r>
    <x v="0"/>
    <x v="3"/>
    <s v="S92000003"/>
    <x v="46"/>
    <n v="516"/>
    <n v="223"/>
    <m/>
    <n v="237"/>
    <m/>
    <n v="56"/>
  </r>
  <r>
    <x v="1"/>
    <x v="0"/>
    <s v="S12000005"/>
    <x v="0"/>
    <n v="60"/>
    <m/>
    <n v="23"/>
    <m/>
    <n v="0"/>
    <n v="37"/>
  </r>
  <r>
    <x v="1"/>
    <x v="0"/>
    <s v="S12000006"/>
    <x v="1"/>
    <n v="278"/>
    <m/>
    <n v="206"/>
    <m/>
    <n v="3"/>
    <n v="69"/>
  </r>
  <r>
    <x v="1"/>
    <x v="0"/>
    <s v="S12000008"/>
    <x v="2"/>
    <n v="136"/>
    <m/>
    <n v="80"/>
    <m/>
    <n v="0"/>
    <n v="56"/>
  </r>
  <r>
    <x v="1"/>
    <x v="0"/>
    <s v="S12000010"/>
    <x v="3"/>
    <n v="88"/>
    <m/>
    <n v="60"/>
    <m/>
    <n v="0"/>
    <n v="28"/>
  </r>
  <r>
    <x v="1"/>
    <x v="0"/>
    <s v="S12000011"/>
    <x v="4"/>
    <n v="57"/>
    <m/>
    <n v="0"/>
    <m/>
    <n v="0"/>
    <n v="57"/>
  </r>
  <r>
    <x v="1"/>
    <x v="0"/>
    <s v="S12000013"/>
    <x v="5"/>
    <n v="147"/>
    <m/>
    <n v="147"/>
    <m/>
    <n v="0"/>
    <n v="0"/>
  </r>
  <r>
    <x v="1"/>
    <x v="0"/>
    <s v="S12000014"/>
    <x v="6"/>
    <n v="162"/>
    <m/>
    <n v="68"/>
    <m/>
    <n v="0"/>
    <n v="94"/>
  </r>
  <r>
    <x v="1"/>
    <x v="0"/>
    <s v="S12000017"/>
    <x v="7"/>
    <n v="698"/>
    <m/>
    <n v="548"/>
    <m/>
    <n v="69"/>
    <n v="81"/>
  </r>
  <r>
    <x v="1"/>
    <x v="0"/>
    <s v="S12000018"/>
    <x v="8"/>
    <n v="117"/>
    <m/>
    <n v="40"/>
    <m/>
    <n v="0"/>
    <n v="77"/>
  </r>
  <r>
    <x v="1"/>
    <x v="0"/>
    <s v="S12000019"/>
    <x v="9"/>
    <n v="49"/>
    <m/>
    <n v="14"/>
    <m/>
    <n v="0"/>
    <n v="35"/>
  </r>
  <r>
    <x v="1"/>
    <x v="0"/>
    <s v="S12000020"/>
    <x v="10"/>
    <n v="167"/>
    <m/>
    <n v="121"/>
    <m/>
    <n v="25"/>
    <n v="21"/>
  </r>
  <r>
    <x v="1"/>
    <x v="0"/>
    <s v="S12000021"/>
    <x v="11"/>
    <n v="194"/>
    <m/>
    <n v="90"/>
    <m/>
    <n v="26"/>
    <n v="78"/>
  </r>
  <r>
    <x v="1"/>
    <x v="0"/>
    <s v="S12000023"/>
    <x v="12"/>
    <n v="110"/>
    <m/>
    <n v="109"/>
    <m/>
    <n v="1"/>
    <n v="0"/>
  </r>
  <r>
    <x v="1"/>
    <x v="0"/>
    <s v="S12000024"/>
    <x v="13"/>
    <n v="238"/>
    <m/>
    <n v="128"/>
    <m/>
    <n v="24"/>
    <n v="86"/>
  </r>
  <r>
    <x v="1"/>
    <x v="0"/>
    <s v="S12000026"/>
    <x v="14"/>
    <n v="224"/>
    <m/>
    <n v="151"/>
    <m/>
    <n v="0"/>
    <n v="73"/>
  </r>
  <r>
    <x v="1"/>
    <x v="0"/>
    <s v="S12000027"/>
    <x v="15"/>
    <n v="128"/>
    <m/>
    <n v="127"/>
    <m/>
    <n v="1"/>
    <n v="0"/>
  </r>
  <r>
    <x v="1"/>
    <x v="0"/>
    <s v="S12000028"/>
    <x v="16"/>
    <n v="114"/>
    <m/>
    <n v="54"/>
    <m/>
    <n v="0"/>
    <n v="60"/>
  </r>
  <r>
    <x v="1"/>
    <x v="0"/>
    <s v="S12000029"/>
    <x v="17"/>
    <n v="273"/>
    <m/>
    <n v="82"/>
    <m/>
    <n v="4"/>
    <n v="187"/>
  </r>
  <r>
    <x v="1"/>
    <x v="0"/>
    <s v="S12000030"/>
    <x v="18"/>
    <n v="130"/>
    <m/>
    <n v="75"/>
    <m/>
    <n v="0"/>
    <n v="55"/>
  </r>
  <r>
    <x v="1"/>
    <x v="0"/>
    <s v="S12000033"/>
    <x v="19"/>
    <n v="181"/>
    <m/>
    <n v="8"/>
    <m/>
    <n v="0"/>
    <n v="173"/>
  </r>
  <r>
    <x v="1"/>
    <x v="0"/>
    <s v="S12000034"/>
    <x v="20"/>
    <n v="303"/>
    <m/>
    <n v="280"/>
    <m/>
    <n v="0"/>
    <n v="23"/>
  </r>
  <r>
    <x v="1"/>
    <x v="0"/>
    <s v="S12000035"/>
    <x v="21"/>
    <n v="454"/>
    <m/>
    <n v="175"/>
    <m/>
    <n v="225"/>
    <n v="54"/>
  </r>
  <r>
    <x v="1"/>
    <x v="0"/>
    <s v="S12000036"/>
    <x v="22"/>
    <n v="361"/>
    <m/>
    <n v="13"/>
    <m/>
    <n v="0"/>
    <n v="348"/>
  </r>
  <r>
    <x v="1"/>
    <x v="0"/>
    <s v="S12000038"/>
    <x v="23"/>
    <n v="129"/>
    <m/>
    <n v="14"/>
    <m/>
    <n v="0"/>
    <n v="115"/>
  </r>
  <r>
    <x v="1"/>
    <x v="0"/>
    <s v="S12000039"/>
    <x v="24"/>
    <n v="95"/>
    <m/>
    <n v="21"/>
    <m/>
    <n v="0"/>
    <n v="74"/>
  </r>
  <r>
    <x v="1"/>
    <x v="0"/>
    <s v="S12000040"/>
    <x v="25"/>
    <n v="144"/>
    <m/>
    <n v="65"/>
    <m/>
    <n v="0"/>
    <n v="79"/>
  </r>
  <r>
    <x v="1"/>
    <x v="0"/>
    <s v="S12000041"/>
    <x v="26"/>
    <n v="122"/>
    <m/>
    <n v="95"/>
    <m/>
    <n v="0"/>
    <n v="27"/>
  </r>
  <r>
    <x v="1"/>
    <x v="0"/>
    <s v="S12000042"/>
    <x v="27"/>
    <n v="221"/>
    <m/>
    <n v="14"/>
    <m/>
    <n v="0"/>
    <n v="207"/>
  </r>
  <r>
    <x v="1"/>
    <x v="0"/>
    <s v="S12000044"/>
    <x v="28"/>
    <n v="217"/>
    <m/>
    <n v="30"/>
    <m/>
    <n v="0"/>
    <n v="187"/>
  </r>
  <r>
    <x v="1"/>
    <x v="0"/>
    <s v="S12000045"/>
    <x v="29"/>
    <n v="72"/>
    <m/>
    <n v="0"/>
    <m/>
    <n v="0"/>
    <n v="72"/>
  </r>
  <r>
    <x v="1"/>
    <x v="0"/>
    <s v="S12000046"/>
    <x v="30"/>
    <n v="544"/>
    <m/>
    <n v="0"/>
    <m/>
    <n v="0"/>
    <n v="544"/>
  </r>
  <r>
    <x v="1"/>
    <x v="0"/>
    <s v="S12000047"/>
    <x v="31"/>
    <n v="400"/>
    <m/>
    <n v="112"/>
    <m/>
    <n v="0"/>
    <n v="288"/>
  </r>
  <r>
    <x v="1"/>
    <x v="1"/>
    <s v="S39000001"/>
    <x v="19"/>
    <n v="18"/>
    <m/>
    <m/>
    <m/>
    <m/>
    <n v="18"/>
  </r>
  <r>
    <x v="1"/>
    <x v="1"/>
    <s v="S39000002"/>
    <x v="32"/>
    <n v="18"/>
    <m/>
    <m/>
    <m/>
    <m/>
    <n v="18"/>
  </r>
  <r>
    <x v="1"/>
    <x v="1"/>
    <s v="S39000003"/>
    <x v="33"/>
    <n v="21"/>
    <m/>
    <m/>
    <m/>
    <m/>
    <n v="21"/>
  </r>
  <r>
    <x v="1"/>
    <x v="1"/>
    <s v="S39000004"/>
    <x v="1"/>
    <n v="18"/>
    <m/>
    <m/>
    <m/>
    <m/>
    <n v="18"/>
  </r>
  <r>
    <x v="1"/>
    <x v="1"/>
    <s v="S39000006"/>
    <x v="34"/>
    <n v="20"/>
    <m/>
    <m/>
    <m/>
    <m/>
    <n v="20"/>
  </r>
  <r>
    <x v="1"/>
    <x v="1"/>
    <s v="S39000007"/>
    <x v="35"/>
    <n v="17"/>
    <m/>
    <m/>
    <m/>
    <m/>
    <n v="17"/>
  </r>
  <r>
    <x v="1"/>
    <x v="1"/>
    <s v="S39000008"/>
    <x v="36"/>
    <n v="12"/>
    <m/>
    <m/>
    <m/>
    <m/>
    <n v="12"/>
  </r>
  <r>
    <x v="1"/>
    <x v="1"/>
    <s v="S39000009"/>
    <x v="37"/>
    <n v="24"/>
    <m/>
    <m/>
    <m/>
    <m/>
    <n v="24"/>
  </r>
  <r>
    <x v="1"/>
    <x v="1"/>
    <s v="S39000010"/>
    <x v="38"/>
    <n v="13"/>
    <m/>
    <m/>
    <m/>
    <m/>
    <n v="13"/>
  </r>
  <r>
    <x v="1"/>
    <x v="1"/>
    <s v="S39000012"/>
    <x v="30"/>
    <n v="25"/>
    <m/>
    <m/>
    <m/>
    <m/>
    <n v="25"/>
  </r>
  <r>
    <x v="1"/>
    <x v="1"/>
    <s v="S39000013"/>
    <x v="39"/>
    <n v="13"/>
    <m/>
    <m/>
    <m/>
    <m/>
    <n v="13"/>
  </r>
  <r>
    <x v="1"/>
    <x v="1"/>
    <s v="S39000014"/>
    <x v="28"/>
    <n v="16"/>
    <m/>
    <m/>
    <m/>
    <m/>
    <n v="16"/>
  </r>
  <r>
    <x v="1"/>
    <x v="1"/>
    <s v="S39000015"/>
    <x v="17"/>
    <n v="10"/>
    <m/>
    <m/>
    <m/>
    <m/>
    <n v="10"/>
  </r>
  <r>
    <x v="1"/>
    <x v="1"/>
    <s v="S39000016"/>
    <x v="40"/>
    <n v="5"/>
    <m/>
    <m/>
    <m/>
    <m/>
    <n v="5"/>
  </r>
  <r>
    <x v="1"/>
    <x v="1"/>
    <s v="S39000017"/>
    <x v="41"/>
    <n v="7"/>
    <m/>
    <m/>
    <m/>
    <m/>
    <n v="7"/>
  </r>
  <r>
    <x v="1"/>
    <x v="1"/>
    <s v="S39000018"/>
    <x v="42"/>
    <n v="12"/>
    <m/>
    <m/>
    <m/>
    <m/>
    <n v="12"/>
  </r>
  <r>
    <x v="1"/>
    <x v="1"/>
    <s v="S39000019"/>
    <x v="31"/>
    <n v="21"/>
    <m/>
    <m/>
    <m/>
    <m/>
    <n v="21"/>
  </r>
  <r>
    <x v="1"/>
    <x v="2"/>
    <s v="S40000003"/>
    <x v="43"/>
    <n v="445"/>
    <m/>
    <m/>
    <n v="340"/>
    <m/>
    <n v="105"/>
  </r>
  <r>
    <x v="1"/>
    <x v="2"/>
    <s v="S40000004"/>
    <x v="44"/>
    <n v="242"/>
    <m/>
    <m/>
    <n v="163"/>
    <m/>
    <n v="79"/>
  </r>
  <r>
    <x v="1"/>
    <x v="2"/>
    <s v="S40000005"/>
    <x v="45"/>
    <n v="193"/>
    <m/>
    <m/>
    <n v="126"/>
    <m/>
    <n v="67"/>
  </r>
  <r>
    <x v="1"/>
    <x v="3"/>
    <s v="S92000003"/>
    <x v="46"/>
    <n v="518"/>
    <n v="230"/>
    <m/>
    <n v="238"/>
    <m/>
    <n v="50"/>
  </r>
  <r>
    <x v="2"/>
    <x v="0"/>
    <s v="S12000005"/>
    <x v="0"/>
    <n v="47"/>
    <m/>
    <n v="21"/>
    <m/>
    <n v="0"/>
    <n v="26"/>
  </r>
  <r>
    <x v="2"/>
    <x v="0"/>
    <s v="S12000006"/>
    <x v="1"/>
    <n v="260"/>
    <m/>
    <n v="190"/>
    <m/>
    <n v="5"/>
    <n v="65"/>
  </r>
  <r>
    <x v="2"/>
    <x v="0"/>
    <s v="S12000008"/>
    <x v="2"/>
    <n v="136"/>
    <m/>
    <n v="83"/>
    <m/>
    <n v="0"/>
    <n v="53"/>
  </r>
  <r>
    <x v="2"/>
    <x v="0"/>
    <s v="S12000010"/>
    <x v="3"/>
    <n v="82"/>
    <m/>
    <n v="55"/>
    <m/>
    <n v="0"/>
    <n v="27"/>
  </r>
  <r>
    <x v="2"/>
    <x v="0"/>
    <s v="S12000011"/>
    <x v="4"/>
    <n v="55"/>
    <m/>
    <n v="2"/>
    <m/>
    <n v="0"/>
    <n v="53"/>
  </r>
  <r>
    <x v="2"/>
    <x v="0"/>
    <s v="S12000013"/>
    <x v="5"/>
    <n v="140"/>
    <m/>
    <n v="140"/>
    <m/>
    <n v="0"/>
    <n v="0"/>
  </r>
  <r>
    <x v="2"/>
    <x v="0"/>
    <s v="S12000014"/>
    <x v="6"/>
    <n v="148"/>
    <m/>
    <n v="53"/>
    <m/>
    <n v="0"/>
    <n v="95"/>
  </r>
  <r>
    <x v="2"/>
    <x v="0"/>
    <s v="S12000017"/>
    <x v="7"/>
    <n v="661"/>
    <m/>
    <n v="525"/>
    <m/>
    <n v="68"/>
    <n v="68"/>
  </r>
  <r>
    <x v="2"/>
    <x v="0"/>
    <s v="S12000018"/>
    <x v="8"/>
    <n v="111"/>
    <m/>
    <n v="41"/>
    <m/>
    <n v="0"/>
    <n v="70"/>
  </r>
  <r>
    <x v="2"/>
    <x v="0"/>
    <s v="S12000019"/>
    <x v="9"/>
    <n v="34"/>
    <m/>
    <n v="11"/>
    <m/>
    <n v="0"/>
    <n v="23"/>
  </r>
  <r>
    <x v="2"/>
    <x v="0"/>
    <s v="S12000020"/>
    <x v="10"/>
    <n v="161"/>
    <m/>
    <n v="110"/>
    <m/>
    <n v="20"/>
    <n v="31"/>
  </r>
  <r>
    <x v="2"/>
    <x v="0"/>
    <s v="S12000021"/>
    <x v="11"/>
    <n v="208"/>
    <m/>
    <n v="108"/>
    <m/>
    <n v="22"/>
    <n v="78"/>
  </r>
  <r>
    <x v="2"/>
    <x v="0"/>
    <s v="S12000023"/>
    <x v="12"/>
    <n v="98"/>
    <m/>
    <n v="98"/>
    <m/>
    <n v="0"/>
    <n v="0"/>
  </r>
  <r>
    <x v="2"/>
    <x v="0"/>
    <s v="S12000024"/>
    <x v="13"/>
    <n v="222"/>
    <m/>
    <n v="126"/>
    <m/>
    <n v="23"/>
    <n v="73"/>
  </r>
  <r>
    <x v="2"/>
    <x v="0"/>
    <s v="S12000026"/>
    <x v="14"/>
    <n v="218"/>
    <m/>
    <n v="147"/>
    <m/>
    <n v="0"/>
    <n v="71"/>
  </r>
  <r>
    <x v="2"/>
    <x v="0"/>
    <s v="S12000027"/>
    <x v="15"/>
    <n v="126"/>
    <m/>
    <n v="126"/>
    <m/>
    <n v="0"/>
    <n v="0"/>
  </r>
  <r>
    <x v="2"/>
    <x v="0"/>
    <s v="S12000028"/>
    <x v="16"/>
    <n v="108"/>
    <m/>
    <n v="53"/>
    <m/>
    <n v="0"/>
    <n v="55"/>
  </r>
  <r>
    <x v="2"/>
    <x v="0"/>
    <s v="S12000029"/>
    <x v="17"/>
    <n v="252"/>
    <m/>
    <n v="71"/>
    <m/>
    <n v="3"/>
    <n v="178"/>
  </r>
  <r>
    <x v="2"/>
    <x v="0"/>
    <s v="S12000030"/>
    <x v="18"/>
    <n v="124"/>
    <m/>
    <n v="73"/>
    <m/>
    <n v="0"/>
    <n v="51"/>
  </r>
  <r>
    <x v="2"/>
    <x v="0"/>
    <s v="S12000033"/>
    <x v="19"/>
    <n v="167"/>
    <m/>
    <n v="23"/>
    <m/>
    <n v="0"/>
    <n v="144"/>
  </r>
  <r>
    <x v="2"/>
    <x v="0"/>
    <s v="S12000034"/>
    <x v="20"/>
    <n v="303"/>
    <m/>
    <n v="271"/>
    <m/>
    <n v="0"/>
    <n v="32"/>
  </r>
  <r>
    <x v="2"/>
    <x v="0"/>
    <s v="S12000035"/>
    <x v="21"/>
    <n v="438"/>
    <m/>
    <n v="182"/>
    <m/>
    <n v="201"/>
    <n v="55"/>
  </r>
  <r>
    <x v="2"/>
    <x v="0"/>
    <s v="S12000036"/>
    <x v="22"/>
    <n v="327"/>
    <m/>
    <n v="12"/>
    <m/>
    <n v="0"/>
    <n v="315"/>
  </r>
  <r>
    <x v="2"/>
    <x v="0"/>
    <s v="S12000038"/>
    <x v="23"/>
    <n v="105"/>
    <m/>
    <n v="13"/>
    <m/>
    <n v="0"/>
    <n v="92"/>
  </r>
  <r>
    <x v="2"/>
    <x v="0"/>
    <s v="S12000039"/>
    <x v="24"/>
    <n v="89"/>
    <m/>
    <n v="19"/>
    <m/>
    <n v="0"/>
    <n v="70"/>
  </r>
  <r>
    <x v="2"/>
    <x v="0"/>
    <s v="S12000040"/>
    <x v="25"/>
    <n v="116"/>
    <m/>
    <n v="55"/>
    <m/>
    <n v="0"/>
    <n v="61"/>
  </r>
  <r>
    <x v="2"/>
    <x v="0"/>
    <s v="S12000041"/>
    <x v="26"/>
    <n v="134"/>
    <m/>
    <n v="98"/>
    <m/>
    <n v="0"/>
    <n v="36"/>
  </r>
  <r>
    <x v="2"/>
    <x v="0"/>
    <s v="S12000042"/>
    <x v="27"/>
    <n v="187"/>
    <m/>
    <n v="11"/>
    <m/>
    <n v="0"/>
    <n v="176"/>
  </r>
  <r>
    <x v="2"/>
    <x v="0"/>
    <s v="S12000044"/>
    <x v="28"/>
    <n v="214"/>
    <m/>
    <n v="34"/>
    <m/>
    <n v="0"/>
    <n v="180"/>
  </r>
  <r>
    <x v="2"/>
    <x v="0"/>
    <s v="S12000045"/>
    <x v="29"/>
    <n v="71"/>
    <m/>
    <n v="1"/>
    <m/>
    <n v="0"/>
    <n v="70"/>
  </r>
  <r>
    <x v="2"/>
    <x v="0"/>
    <s v="S12000046"/>
    <x v="30"/>
    <n v="505"/>
    <m/>
    <n v="6"/>
    <m/>
    <n v="0"/>
    <n v="499"/>
  </r>
  <r>
    <x v="2"/>
    <x v="0"/>
    <s v="S12000047"/>
    <x v="31"/>
    <n v="390"/>
    <m/>
    <n v="112"/>
    <m/>
    <n v="0"/>
    <n v="278"/>
  </r>
  <r>
    <x v="2"/>
    <x v="1"/>
    <s v="S39000001"/>
    <x v="19"/>
    <n v="16"/>
    <m/>
    <m/>
    <m/>
    <m/>
    <n v="16"/>
  </r>
  <r>
    <x v="2"/>
    <x v="1"/>
    <s v="S39000002"/>
    <x v="32"/>
    <n v="27"/>
    <m/>
    <m/>
    <m/>
    <m/>
    <n v="27"/>
  </r>
  <r>
    <x v="2"/>
    <x v="1"/>
    <s v="S39000003"/>
    <x v="33"/>
    <n v="25"/>
    <m/>
    <m/>
    <m/>
    <m/>
    <n v="25"/>
  </r>
  <r>
    <x v="2"/>
    <x v="1"/>
    <s v="S39000004"/>
    <x v="1"/>
    <n v="19"/>
    <m/>
    <m/>
    <m/>
    <m/>
    <n v="19"/>
  </r>
  <r>
    <x v="2"/>
    <x v="1"/>
    <s v="S39000006"/>
    <x v="34"/>
    <n v="29"/>
    <m/>
    <m/>
    <m/>
    <m/>
    <n v="29"/>
  </r>
  <r>
    <x v="2"/>
    <x v="1"/>
    <s v="S39000007"/>
    <x v="35"/>
    <n v="38"/>
    <m/>
    <m/>
    <m/>
    <m/>
    <n v="38"/>
  </r>
  <r>
    <x v="2"/>
    <x v="1"/>
    <s v="S39000008"/>
    <x v="36"/>
    <n v="17"/>
    <m/>
    <m/>
    <m/>
    <m/>
    <n v="17"/>
  </r>
  <r>
    <x v="2"/>
    <x v="1"/>
    <s v="S39000009"/>
    <x v="37"/>
    <n v="27"/>
    <m/>
    <m/>
    <m/>
    <m/>
    <n v="27"/>
  </r>
  <r>
    <x v="2"/>
    <x v="1"/>
    <s v="S39000010"/>
    <x v="38"/>
    <n v="16"/>
    <m/>
    <m/>
    <m/>
    <m/>
    <n v="16"/>
  </r>
  <r>
    <x v="2"/>
    <x v="1"/>
    <s v="S39000012"/>
    <x v="30"/>
    <n v="32"/>
    <m/>
    <m/>
    <m/>
    <m/>
    <n v="32"/>
  </r>
  <r>
    <x v="2"/>
    <x v="1"/>
    <s v="S39000013"/>
    <x v="39"/>
    <n v="29"/>
    <m/>
    <m/>
    <m/>
    <m/>
    <n v="29"/>
  </r>
  <r>
    <x v="2"/>
    <x v="1"/>
    <s v="S39000014"/>
    <x v="28"/>
    <n v="20"/>
    <m/>
    <m/>
    <m/>
    <m/>
    <n v="20"/>
  </r>
  <r>
    <x v="2"/>
    <x v="1"/>
    <s v="S39000015"/>
    <x v="17"/>
    <n v="16"/>
    <m/>
    <m/>
    <m/>
    <m/>
    <n v="16"/>
  </r>
  <r>
    <x v="2"/>
    <x v="1"/>
    <s v="S39000016"/>
    <x v="40"/>
    <n v="13"/>
    <m/>
    <m/>
    <m/>
    <m/>
    <n v="13"/>
  </r>
  <r>
    <x v="2"/>
    <x v="1"/>
    <s v="S39000017"/>
    <x v="41"/>
    <n v="11"/>
    <m/>
    <m/>
    <m/>
    <m/>
    <n v="11"/>
  </r>
  <r>
    <x v="2"/>
    <x v="1"/>
    <s v="S39000018"/>
    <x v="42"/>
    <n v="24"/>
    <m/>
    <m/>
    <m/>
    <m/>
    <n v="24"/>
  </r>
  <r>
    <x v="2"/>
    <x v="1"/>
    <s v="S39000019"/>
    <x v="31"/>
    <n v="26"/>
    <m/>
    <m/>
    <m/>
    <m/>
    <n v="26"/>
  </r>
  <r>
    <x v="2"/>
    <x v="2"/>
    <s v="S40000003"/>
    <x v="43"/>
    <n v="302"/>
    <m/>
    <m/>
    <n v="286"/>
    <m/>
    <n v="16"/>
  </r>
  <r>
    <x v="2"/>
    <x v="2"/>
    <s v="S40000004"/>
    <x v="44"/>
    <n v="149"/>
    <m/>
    <m/>
    <n v="124"/>
    <m/>
    <n v="25"/>
  </r>
  <r>
    <x v="2"/>
    <x v="2"/>
    <s v="S40000005"/>
    <x v="45"/>
    <n v="165"/>
    <m/>
    <m/>
    <n v="121"/>
    <m/>
    <n v="44"/>
  </r>
  <r>
    <x v="2"/>
    <x v="3"/>
    <s v="S92000003"/>
    <x v="46"/>
    <n v="695"/>
    <n v="203"/>
    <m/>
    <n v="297"/>
    <m/>
    <n v="195"/>
  </r>
  <r>
    <x v="3"/>
    <x v="0"/>
    <s v="S12000005"/>
    <x v="0"/>
    <n v="46"/>
    <m/>
    <n v="24"/>
    <m/>
    <n v="0"/>
    <n v="22"/>
  </r>
  <r>
    <x v="3"/>
    <x v="0"/>
    <s v="S12000006"/>
    <x v="1"/>
    <n v="270"/>
    <m/>
    <n v="202"/>
    <m/>
    <n v="5"/>
    <n v="63"/>
  </r>
  <r>
    <x v="3"/>
    <x v="0"/>
    <s v="S12000008"/>
    <x v="2"/>
    <n v="127"/>
    <m/>
    <n v="81"/>
    <m/>
    <n v="0"/>
    <n v="46"/>
  </r>
  <r>
    <x v="3"/>
    <x v="0"/>
    <s v="S12000010"/>
    <x v="3"/>
    <n v="82"/>
    <m/>
    <n v="55"/>
    <m/>
    <n v="0"/>
    <n v="27"/>
  </r>
  <r>
    <x v="3"/>
    <x v="0"/>
    <s v="S12000011"/>
    <x v="4"/>
    <n v="50"/>
    <m/>
    <n v="0"/>
    <m/>
    <n v="0"/>
    <n v="50"/>
  </r>
  <r>
    <x v="3"/>
    <x v="0"/>
    <s v="S12000013"/>
    <x v="5"/>
    <n v="137"/>
    <m/>
    <n v="137"/>
    <m/>
    <n v="0"/>
    <n v="0"/>
  </r>
  <r>
    <x v="3"/>
    <x v="0"/>
    <s v="S12000014"/>
    <x v="6"/>
    <n v="142"/>
    <m/>
    <n v="56"/>
    <m/>
    <n v="0"/>
    <n v="86"/>
  </r>
  <r>
    <x v="3"/>
    <x v="0"/>
    <s v="S12000017"/>
    <x v="7"/>
    <n v="659"/>
    <m/>
    <n v="525"/>
    <m/>
    <n v="67"/>
    <n v="67"/>
  </r>
  <r>
    <x v="3"/>
    <x v="0"/>
    <s v="S12000018"/>
    <x v="8"/>
    <n v="107"/>
    <m/>
    <n v="39"/>
    <m/>
    <n v="0"/>
    <n v="68"/>
  </r>
  <r>
    <x v="3"/>
    <x v="0"/>
    <s v="S12000019"/>
    <x v="9"/>
    <n v="33"/>
    <m/>
    <n v="11"/>
    <m/>
    <n v="0"/>
    <n v="22"/>
  </r>
  <r>
    <x v="3"/>
    <x v="0"/>
    <s v="S12000020"/>
    <x v="10"/>
    <n v="152"/>
    <m/>
    <n v="125"/>
    <m/>
    <n v="0"/>
    <n v="27"/>
  </r>
  <r>
    <x v="3"/>
    <x v="0"/>
    <s v="S12000021"/>
    <x v="11"/>
    <n v="202"/>
    <m/>
    <n v="106"/>
    <m/>
    <n v="18"/>
    <n v="78"/>
  </r>
  <r>
    <x v="3"/>
    <x v="0"/>
    <s v="S12000023"/>
    <x v="12"/>
    <n v="95"/>
    <m/>
    <n v="95"/>
    <m/>
    <n v="0"/>
    <n v="0"/>
  </r>
  <r>
    <x v="3"/>
    <x v="0"/>
    <s v="S12000024"/>
    <x v="13"/>
    <n v="213"/>
    <m/>
    <n v="122"/>
    <m/>
    <n v="23"/>
    <n v="68"/>
  </r>
  <r>
    <x v="3"/>
    <x v="0"/>
    <s v="S12000026"/>
    <x v="14"/>
    <n v="199"/>
    <m/>
    <n v="143"/>
    <m/>
    <n v="0"/>
    <n v="56"/>
  </r>
  <r>
    <x v="3"/>
    <x v="0"/>
    <s v="S12000027"/>
    <x v="15"/>
    <n v="122"/>
    <m/>
    <n v="122"/>
    <m/>
    <n v="0"/>
    <n v="0"/>
  </r>
  <r>
    <x v="3"/>
    <x v="0"/>
    <s v="S12000028"/>
    <x v="16"/>
    <n v="102"/>
    <m/>
    <n v="48"/>
    <m/>
    <n v="0"/>
    <n v="54"/>
  </r>
  <r>
    <x v="3"/>
    <x v="0"/>
    <s v="S12000029"/>
    <x v="17"/>
    <n v="248"/>
    <m/>
    <n v="74"/>
    <m/>
    <n v="3"/>
    <n v="171"/>
  </r>
  <r>
    <x v="3"/>
    <x v="0"/>
    <s v="S12000030"/>
    <x v="18"/>
    <n v="126"/>
    <m/>
    <n v="73"/>
    <m/>
    <n v="0"/>
    <n v="53"/>
  </r>
  <r>
    <x v="3"/>
    <x v="0"/>
    <s v="S12000033"/>
    <x v="19"/>
    <n v="163"/>
    <m/>
    <n v="8"/>
    <m/>
    <n v="0"/>
    <n v="155"/>
  </r>
  <r>
    <x v="3"/>
    <x v="0"/>
    <s v="S12000034"/>
    <x v="20"/>
    <n v="307"/>
    <m/>
    <n v="282"/>
    <m/>
    <n v="0"/>
    <n v="25"/>
  </r>
  <r>
    <x v="3"/>
    <x v="0"/>
    <s v="S12000035"/>
    <x v="21"/>
    <n v="428"/>
    <m/>
    <n v="185"/>
    <m/>
    <n v="200"/>
    <n v="43"/>
  </r>
  <r>
    <x v="3"/>
    <x v="0"/>
    <s v="S12000036"/>
    <x v="22"/>
    <n v="325"/>
    <m/>
    <n v="12"/>
    <m/>
    <n v="0"/>
    <n v="313"/>
  </r>
  <r>
    <x v="3"/>
    <x v="0"/>
    <s v="S12000038"/>
    <x v="23"/>
    <n v="110"/>
    <m/>
    <n v="13"/>
    <m/>
    <n v="0"/>
    <n v="97"/>
  </r>
  <r>
    <x v="3"/>
    <x v="0"/>
    <s v="S12000039"/>
    <x v="24"/>
    <n v="86"/>
    <m/>
    <n v="17"/>
    <m/>
    <n v="0"/>
    <n v="69"/>
  </r>
  <r>
    <x v="3"/>
    <x v="0"/>
    <s v="S12000040"/>
    <x v="25"/>
    <n v="124"/>
    <m/>
    <n v="64"/>
    <m/>
    <n v="0"/>
    <n v="60"/>
  </r>
  <r>
    <x v="3"/>
    <x v="0"/>
    <s v="S12000041"/>
    <x v="26"/>
    <n v="119"/>
    <m/>
    <n v="94"/>
    <m/>
    <n v="0"/>
    <n v="25"/>
  </r>
  <r>
    <x v="3"/>
    <x v="0"/>
    <s v="S12000042"/>
    <x v="27"/>
    <n v="205"/>
    <m/>
    <n v="13"/>
    <m/>
    <n v="0"/>
    <n v="192"/>
  </r>
  <r>
    <x v="3"/>
    <x v="0"/>
    <s v="S12000044"/>
    <x v="28"/>
    <n v="208"/>
    <m/>
    <n v="35"/>
    <m/>
    <n v="0"/>
    <n v="173"/>
  </r>
  <r>
    <x v="3"/>
    <x v="0"/>
    <s v="S12000045"/>
    <x v="29"/>
    <n v="68"/>
    <m/>
    <n v="0"/>
    <m/>
    <n v="0"/>
    <n v="68"/>
  </r>
  <r>
    <x v="3"/>
    <x v="0"/>
    <s v="S12000046"/>
    <x v="30"/>
    <n v="475"/>
    <m/>
    <n v="0"/>
    <m/>
    <n v="0"/>
    <n v="475"/>
  </r>
  <r>
    <x v="3"/>
    <x v="0"/>
    <s v="S12000047"/>
    <x v="31"/>
    <n v="379"/>
    <m/>
    <n v="109"/>
    <m/>
    <n v="0"/>
    <n v="270"/>
  </r>
  <r>
    <x v="3"/>
    <x v="1"/>
    <s v="S39000001"/>
    <x v="19"/>
    <n v="14"/>
    <m/>
    <m/>
    <m/>
    <m/>
    <n v="14"/>
  </r>
  <r>
    <x v="3"/>
    <x v="1"/>
    <s v="S39000002"/>
    <x v="32"/>
    <n v="25"/>
    <m/>
    <m/>
    <m/>
    <m/>
    <n v="25"/>
  </r>
  <r>
    <x v="3"/>
    <x v="1"/>
    <s v="S39000003"/>
    <x v="33"/>
    <n v="26"/>
    <m/>
    <m/>
    <m/>
    <m/>
    <n v="26"/>
  </r>
  <r>
    <x v="3"/>
    <x v="1"/>
    <s v="S39000004"/>
    <x v="1"/>
    <n v="22"/>
    <m/>
    <m/>
    <m/>
    <m/>
    <n v="22"/>
  </r>
  <r>
    <x v="3"/>
    <x v="1"/>
    <s v="S39000006"/>
    <x v="34"/>
    <n v="30"/>
    <m/>
    <m/>
    <m/>
    <m/>
    <n v="30"/>
  </r>
  <r>
    <x v="3"/>
    <x v="1"/>
    <s v="S39000007"/>
    <x v="35"/>
    <n v="31"/>
    <m/>
    <m/>
    <m/>
    <m/>
    <n v="31"/>
  </r>
  <r>
    <x v="3"/>
    <x v="1"/>
    <s v="S39000008"/>
    <x v="36"/>
    <n v="18"/>
    <m/>
    <m/>
    <m/>
    <m/>
    <n v="18"/>
  </r>
  <r>
    <x v="3"/>
    <x v="1"/>
    <s v="S39000009"/>
    <x v="37"/>
    <n v="27"/>
    <m/>
    <m/>
    <m/>
    <m/>
    <n v="27"/>
  </r>
  <r>
    <x v="3"/>
    <x v="1"/>
    <s v="S39000010"/>
    <x v="38"/>
    <n v="21"/>
    <m/>
    <m/>
    <m/>
    <m/>
    <n v="21"/>
  </r>
  <r>
    <x v="3"/>
    <x v="1"/>
    <s v="S39000012"/>
    <x v="30"/>
    <n v="25"/>
    <m/>
    <m/>
    <m/>
    <m/>
    <n v="25"/>
  </r>
  <r>
    <x v="3"/>
    <x v="1"/>
    <s v="S39000013"/>
    <x v="39"/>
    <n v="37"/>
    <m/>
    <m/>
    <m/>
    <m/>
    <n v="37"/>
  </r>
  <r>
    <x v="3"/>
    <x v="1"/>
    <s v="S39000014"/>
    <x v="28"/>
    <n v="15"/>
    <m/>
    <m/>
    <m/>
    <m/>
    <n v="15"/>
  </r>
  <r>
    <x v="3"/>
    <x v="1"/>
    <s v="S39000015"/>
    <x v="17"/>
    <n v="15"/>
    <m/>
    <m/>
    <m/>
    <m/>
    <n v="15"/>
  </r>
  <r>
    <x v="3"/>
    <x v="1"/>
    <s v="S39000016"/>
    <x v="40"/>
    <n v="15"/>
    <m/>
    <m/>
    <m/>
    <m/>
    <n v="15"/>
  </r>
  <r>
    <x v="3"/>
    <x v="1"/>
    <s v="S39000017"/>
    <x v="41"/>
    <n v="16"/>
    <m/>
    <m/>
    <m/>
    <m/>
    <n v="16"/>
  </r>
  <r>
    <x v="3"/>
    <x v="1"/>
    <s v="S39000018"/>
    <x v="42"/>
    <n v="28"/>
    <m/>
    <m/>
    <m/>
    <m/>
    <n v="28"/>
  </r>
  <r>
    <x v="3"/>
    <x v="1"/>
    <s v="S39000019"/>
    <x v="31"/>
    <n v="24"/>
    <m/>
    <m/>
    <m/>
    <m/>
    <n v="24"/>
  </r>
  <r>
    <x v="3"/>
    <x v="2"/>
    <s v="S40000003"/>
    <x v="43"/>
    <n v="340"/>
    <m/>
    <m/>
    <n v="272"/>
    <m/>
    <n v="68"/>
  </r>
  <r>
    <x v="3"/>
    <x v="2"/>
    <s v="S40000004"/>
    <x v="44"/>
    <n v="202"/>
    <m/>
    <m/>
    <n v="164"/>
    <m/>
    <n v="38"/>
  </r>
  <r>
    <x v="3"/>
    <x v="2"/>
    <s v="S40000005"/>
    <x v="45"/>
    <n v="180"/>
    <m/>
    <m/>
    <n v="135"/>
    <m/>
    <n v="45"/>
  </r>
  <r>
    <x v="3"/>
    <x v="3"/>
    <s v="S92000003"/>
    <x v="46"/>
    <n v="614"/>
    <n v="165"/>
    <m/>
    <n v="267"/>
    <m/>
    <n v="182"/>
  </r>
  <r>
    <x v="4"/>
    <x v="0"/>
    <s v="S12000005"/>
    <x v="0"/>
    <n v="47"/>
    <m/>
    <n v="22"/>
    <m/>
    <m/>
    <n v="25"/>
  </r>
  <r>
    <x v="4"/>
    <x v="0"/>
    <s v="S12000006"/>
    <x v="1"/>
    <n v="247"/>
    <m/>
    <n v="189"/>
    <m/>
    <n v="4"/>
    <n v="54"/>
  </r>
  <r>
    <x v="4"/>
    <x v="0"/>
    <s v="S12000008"/>
    <x v="2"/>
    <n v="131"/>
    <m/>
    <n v="82"/>
    <m/>
    <m/>
    <n v="49"/>
  </r>
  <r>
    <x v="4"/>
    <x v="0"/>
    <s v="S12000010"/>
    <x v="3"/>
    <n v="79"/>
    <m/>
    <n v="56"/>
    <m/>
    <m/>
    <n v="23"/>
  </r>
  <r>
    <x v="4"/>
    <x v="0"/>
    <s v="S12000011"/>
    <x v="4"/>
    <n v="51"/>
    <m/>
    <m/>
    <m/>
    <m/>
    <n v="51"/>
  </r>
  <r>
    <x v="4"/>
    <x v="0"/>
    <s v="S12000013"/>
    <x v="5"/>
    <n v="131"/>
    <m/>
    <n v="131"/>
    <m/>
    <m/>
    <m/>
  </r>
  <r>
    <x v="4"/>
    <x v="0"/>
    <s v="S12000014"/>
    <x v="6"/>
    <n v="141"/>
    <m/>
    <n v="54"/>
    <m/>
    <m/>
    <n v="87"/>
  </r>
  <r>
    <x v="4"/>
    <x v="0"/>
    <s v="S12000017"/>
    <x v="7"/>
    <n v="670"/>
    <m/>
    <n v="538"/>
    <m/>
    <n v="64"/>
    <n v="68"/>
  </r>
  <r>
    <x v="4"/>
    <x v="0"/>
    <s v="S12000018"/>
    <x v="8"/>
    <n v="114"/>
    <m/>
    <n v="42"/>
    <m/>
    <m/>
    <n v="72"/>
  </r>
  <r>
    <x v="4"/>
    <x v="0"/>
    <s v="S12000019"/>
    <x v="9"/>
    <n v="40"/>
    <m/>
    <n v="12"/>
    <m/>
    <m/>
    <n v="28"/>
  </r>
  <r>
    <x v="4"/>
    <x v="0"/>
    <s v="S12000020"/>
    <x v="10"/>
    <n v="149"/>
    <m/>
    <n v="120"/>
    <m/>
    <m/>
    <n v="29"/>
  </r>
  <r>
    <x v="4"/>
    <x v="0"/>
    <s v="S12000021"/>
    <x v="11"/>
    <n v="205"/>
    <m/>
    <n v="106"/>
    <m/>
    <n v="23"/>
    <n v="76"/>
  </r>
  <r>
    <x v="4"/>
    <x v="0"/>
    <s v="S12000023"/>
    <x v="12"/>
    <n v="100"/>
    <m/>
    <n v="100"/>
    <m/>
    <m/>
    <m/>
  </r>
  <r>
    <x v="4"/>
    <x v="0"/>
    <s v="S12000024"/>
    <x v="13"/>
    <n v="223"/>
    <m/>
    <n v="126"/>
    <m/>
    <n v="28"/>
    <n v="69"/>
  </r>
  <r>
    <x v="4"/>
    <x v="0"/>
    <s v="S12000026"/>
    <x v="14"/>
    <n v="194"/>
    <m/>
    <n v="143"/>
    <m/>
    <m/>
    <n v="51"/>
  </r>
  <r>
    <x v="4"/>
    <x v="0"/>
    <s v="S12000027"/>
    <x v="15"/>
    <n v="118"/>
    <m/>
    <n v="118"/>
    <m/>
    <m/>
    <m/>
  </r>
  <r>
    <x v="4"/>
    <x v="0"/>
    <s v="S12000028"/>
    <x v="16"/>
    <n v="99"/>
    <m/>
    <n v="49"/>
    <m/>
    <m/>
    <n v="50"/>
  </r>
  <r>
    <x v="4"/>
    <x v="0"/>
    <s v="S12000029"/>
    <x v="17"/>
    <n v="241"/>
    <m/>
    <n v="73"/>
    <m/>
    <n v="2"/>
    <n v="166"/>
  </r>
  <r>
    <x v="4"/>
    <x v="0"/>
    <s v="S12000030"/>
    <x v="18"/>
    <n v="122"/>
    <m/>
    <n v="74"/>
    <m/>
    <m/>
    <n v="48"/>
  </r>
  <r>
    <x v="4"/>
    <x v="0"/>
    <s v="S12000033"/>
    <x v="19"/>
    <n v="153"/>
    <m/>
    <n v="8"/>
    <m/>
    <m/>
    <n v="145"/>
  </r>
  <r>
    <x v="4"/>
    <x v="0"/>
    <s v="S12000034"/>
    <x v="20"/>
    <n v="299"/>
    <m/>
    <n v="275"/>
    <m/>
    <m/>
    <n v="24"/>
  </r>
  <r>
    <x v="4"/>
    <x v="0"/>
    <s v="S12000035"/>
    <x v="21"/>
    <n v="438"/>
    <m/>
    <n v="177"/>
    <m/>
    <n v="211"/>
    <n v="50"/>
  </r>
  <r>
    <x v="4"/>
    <x v="0"/>
    <s v="S12000036"/>
    <x v="22"/>
    <n v="304"/>
    <m/>
    <n v="11"/>
    <m/>
    <m/>
    <n v="293"/>
  </r>
  <r>
    <x v="4"/>
    <x v="0"/>
    <s v="S12000038"/>
    <x v="23"/>
    <n v="110"/>
    <m/>
    <n v="16"/>
    <m/>
    <m/>
    <n v="94"/>
  </r>
  <r>
    <x v="4"/>
    <x v="0"/>
    <s v="S12000039"/>
    <x v="24"/>
    <n v="86"/>
    <m/>
    <n v="18"/>
    <m/>
    <m/>
    <n v="68"/>
  </r>
  <r>
    <x v="4"/>
    <x v="0"/>
    <s v="S12000040"/>
    <x v="25"/>
    <n v="123"/>
    <m/>
    <n v="65"/>
    <m/>
    <m/>
    <n v="58"/>
  </r>
  <r>
    <x v="4"/>
    <x v="0"/>
    <s v="S12000041"/>
    <x v="26"/>
    <n v="121"/>
    <m/>
    <n v="93"/>
    <m/>
    <m/>
    <n v="28"/>
  </r>
  <r>
    <x v="4"/>
    <x v="0"/>
    <s v="S12000042"/>
    <x v="27"/>
    <n v="191"/>
    <m/>
    <n v="13"/>
    <m/>
    <m/>
    <n v="178"/>
  </r>
  <r>
    <x v="4"/>
    <x v="0"/>
    <s v="S12000044"/>
    <x v="28"/>
    <n v="200"/>
    <m/>
    <n v="37"/>
    <m/>
    <m/>
    <n v="163"/>
  </r>
  <r>
    <x v="4"/>
    <x v="0"/>
    <s v="S12000045"/>
    <x v="29"/>
    <n v="78"/>
    <m/>
    <m/>
    <m/>
    <m/>
    <n v="78"/>
  </r>
  <r>
    <x v="4"/>
    <x v="0"/>
    <s v="S12000046"/>
    <x v="30"/>
    <n v="489"/>
    <m/>
    <m/>
    <m/>
    <m/>
    <n v="489"/>
  </r>
  <r>
    <x v="4"/>
    <x v="0"/>
    <s v="S12000047"/>
    <x v="31"/>
    <n v="369"/>
    <m/>
    <n v="115"/>
    <m/>
    <m/>
    <n v="254"/>
  </r>
  <r>
    <x v="4"/>
    <x v="1"/>
    <s v="S39000001"/>
    <x v="19"/>
    <n v="15"/>
    <m/>
    <m/>
    <m/>
    <m/>
    <n v="15"/>
  </r>
  <r>
    <x v="4"/>
    <x v="1"/>
    <s v="S39000002"/>
    <x v="32"/>
    <n v="25"/>
    <m/>
    <m/>
    <m/>
    <m/>
    <n v="25"/>
  </r>
  <r>
    <x v="4"/>
    <x v="1"/>
    <s v="S39000003"/>
    <x v="33"/>
    <n v="26"/>
    <m/>
    <m/>
    <m/>
    <m/>
    <n v="26"/>
  </r>
  <r>
    <x v="4"/>
    <x v="1"/>
    <s v="S39000004"/>
    <x v="1"/>
    <n v="22"/>
    <m/>
    <m/>
    <m/>
    <m/>
    <n v="22"/>
  </r>
  <r>
    <x v="4"/>
    <x v="1"/>
    <s v="S39000006"/>
    <x v="34"/>
    <n v="27"/>
    <m/>
    <m/>
    <m/>
    <m/>
    <n v="27"/>
  </r>
  <r>
    <x v="4"/>
    <x v="1"/>
    <s v="S39000007"/>
    <x v="35"/>
    <n v="27"/>
    <m/>
    <m/>
    <m/>
    <m/>
    <n v="27"/>
  </r>
  <r>
    <x v="4"/>
    <x v="1"/>
    <s v="S39000008"/>
    <x v="36"/>
    <n v="16"/>
    <m/>
    <m/>
    <m/>
    <m/>
    <n v="16"/>
  </r>
  <r>
    <x v="4"/>
    <x v="1"/>
    <s v="S39000009"/>
    <x v="37"/>
    <n v="31"/>
    <m/>
    <m/>
    <m/>
    <m/>
    <n v="31"/>
  </r>
  <r>
    <x v="4"/>
    <x v="1"/>
    <s v="S39000010"/>
    <x v="38"/>
    <n v="19"/>
    <m/>
    <m/>
    <m/>
    <m/>
    <n v="19"/>
  </r>
  <r>
    <x v="4"/>
    <x v="1"/>
    <s v="S39000012"/>
    <x v="30"/>
    <n v="22"/>
    <m/>
    <m/>
    <m/>
    <m/>
    <n v="22"/>
  </r>
  <r>
    <x v="4"/>
    <x v="1"/>
    <s v="S39000013"/>
    <x v="39"/>
    <n v="32"/>
    <m/>
    <m/>
    <m/>
    <m/>
    <n v="32"/>
  </r>
  <r>
    <x v="4"/>
    <x v="1"/>
    <s v="S39000014"/>
    <x v="28"/>
    <n v="17"/>
    <m/>
    <m/>
    <m/>
    <m/>
    <n v="17"/>
  </r>
  <r>
    <x v="4"/>
    <x v="1"/>
    <s v="S39000015"/>
    <x v="17"/>
    <n v="16"/>
    <m/>
    <m/>
    <m/>
    <m/>
    <n v="16"/>
  </r>
  <r>
    <x v="4"/>
    <x v="1"/>
    <s v="S39000016"/>
    <x v="40"/>
    <n v="18"/>
    <m/>
    <m/>
    <m/>
    <m/>
    <n v="18"/>
  </r>
  <r>
    <x v="4"/>
    <x v="1"/>
    <s v="S39000017"/>
    <x v="41"/>
    <n v="19"/>
    <m/>
    <m/>
    <m/>
    <m/>
    <n v="19"/>
  </r>
  <r>
    <x v="4"/>
    <x v="1"/>
    <s v="S39000018"/>
    <x v="42"/>
    <n v="28"/>
    <m/>
    <m/>
    <m/>
    <m/>
    <n v="28"/>
  </r>
  <r>
    <x v="4"/>
    <x v="1"/>
    <s v="S39000019"/>
    <x v="31"/>
    <n v="19"/>
    <m/>
    <m/>
    <m/>
    <m/>
    <n v="19"/>
  </r>
  <r>
    <x v="4"/>
    <x v="2"/>
    <s v="S40000003"/>
    <x v="43"/>
    <n v="373"/>
    <m/>
    <m/>
    <n v="300"/>
    <m/>
    <n v="73"/>
  </r>
  <r>
    <x v="4"/>
    <x v="2"/>
    <s v="S40000004"/>
    <x v="44"/>
    <n v="165"/>
    <m/>
    <m/>
    <n v="128"/>
    <m/>
    <n v="37"/>
  </r>
  <r>
    <x v="4"/>
    <x v="2"/>
    <s v="S40000005"/>
    <x v="45"/>
    <n v="187"/>
    <m/>
    <m/>
    <n v="141"/>
    <m/>
    <n v="46"/>
  </r>
  <r>
    <x v="4"/>
    <x v="3"/>
    <s v="S92000003"/>
    <x v="46"/>
    <n v="609"/>
    <n v="189"/>
    <m/>
    <n v="277"/>
    <m/>
    <n v="143"/>
  </r>
  <r>
    <x v="5"/>
    <x v="0"/>
    <s v="S12000005"/>
    <x v="0"/>
    <n v="45"/>
    <m/>
    <n v="20"/>
    <m/>
    <m/>
    <n v="25"/>
  </r>
  <r>
    <x v="5"/>
    <x v="0"/>
    <s v="S12000006"/>
    <x v="1"/>
    <n v="258"/>
    <m/>
    <n v="199"/>
    <m/>
    <n v="6"/>
    <n v="53"/>
  </r>
  <r>
    <x v="5"/>
    <x v="0"/>
    <s v="S12000008"/>
    <x v="2"/>
    <n v="124"/>
    <m/>
    <n v="77"/>
    <m/>
    <m/>
    <n v="47"/>
  </r>
  <r>
    <x v="5"/>
    <x v="0"/>
    <s v="S12000010"/>
    <x v="3"/>
    <n v="87"/>
    <m/>
    <n v="63"/>
    <m/>
    <m/>
    <n v="24"/>
  </r>
  <r>
    <x v="5"/>
    <x v="0"/>
    <s v="S12000011"/>
    <x v="4"/>
    <n v="52"/>
    <m/>
    <m/>
    <m/>
    <m/>
    <n v="52"/>
  </r>
  <r>
    <x v="5"/>
    <x v="0"/>
    <s v="S12000013"/>
    <x v="5"/>
    <n v="133"/>
    <m/>
    <n v="133"/>
    <m/>
    <m/>
    <m/>
  </r>
  <r>
    <x v="5"/>
    <x v="0"/>
    <s v="S12000014"/>
    <x v="6"/>
    <n v="143"/>
    <m/>
    <n v="55"/>
    <m/>
    <m/>
    <n v="88"/>
  </r>
  <r>
    <x v="5"/>
    <x v="0"/>
    <s v="S12000017"/>
    <x v="7"/>
    <n v="688"/>
    <m/>
    <n v="556"/>
    <m/>
    <n v="62"/>
    <n v="70"/>
  </r>
  <r>
    <x v="5"/>
    <x v="0"/>
    <s v="S12000018"/>
    <x v="8"/>
    <n v="116"/>
    <m/>
    <n v="44"/>
    <m/>
    <m/>
    <n v="72"/>
  </r>
  <r>
    <x v="5"/>
    <x v="0"/>
    <s v="S12000019"/>
    <x v="9"/>
    <n v="39"/>
    <m/>
    <n v="13"/>
    <m/>
    <m/>
    <n v="26"/>
  </r>
  <r>
    <x v="5"/>
    <x v="0"/>
    <s v="S12000020"/>
    <x v="10"/>
    <n v="151"/>
    <m/>
    <n v="121"/>
    <m/>
    <m/>
    <n v="30"/>
  </r>
  <r>
    <x v="5"/>
    <x v="0"/>
    <s v="S12000021"/>
    <x v="11"/>
    <n v="206"/>
    <m/>
    <n v="108"/>
    <m/>
    <n v="22"/>
    <n v="76"/>
  </r>
  <r>
    <x v="5"/>
    <x v="0"/>
    <s v="S12000023"/>
    <x v="12"/>
    <n v="110"/>
    <m/>
    <n v="110"/>
    <m/>
    <m/>
    <m/>
  </r>
  <r>
    <x v="5"/>
    <x v="0"/>
    <s v="S12000024"/>
    <x v="13"/>
    <n v="223"/>
    <m/>
    <n v="132"/>
    <m/>
    <n v="22"/>
    <n v="69"/>
  </r>
  <r>
    <x v="5"/>
    <x v="0"/>
    <s v="S12000026"/>
    <x v="14"/>
    <n v="200"/>
    <m/>
    <n v="144"/>
    <m/>
    <m/>
    <n v="56"/>
  </r>
  <r>
    <x v="5"/>
    <x v="0"/>
    <s v="S12000027"/>
    <x v="15"/>
    <n v="128"/>
    <m/>
    <n v="128"/>
    <m/>
    <m/>
    <m/>
  </r>
  <r>
    <x v="5"/>
    <x v="0"/>
    <s v="S12000028"/>
    <x v="16"/>
    <n v="108"/>
    <m/>
    <n v="58"/>
    <m/>
    <m/>
    <n v="50"/>
  </r>
  <r>
    <x v="5"/>
    <x v="0"/>
    <s v="S12000029"/>
    <x v="17"/>
    <n v="247"/>
    <m/>
    <n v="78"/>
    <m/>
    <n v="2"/>
    <n v="167"/>
  </r>
  <r>
    <x v="5"/>
    <x v="0"/>
    <s v="S12000030"/>
    <x v="18"/>
    <n v="125"/>
    <m/>
    <n v="76"/>
    <m/>
    <m/>
    <n v="49"/>
  </r>
  <r>
    <x v="5"/>
    <x v="0"/>
    <s v="S12000033"/>
    <x v="19"/>
    <n v="162"/>
    <m/>
    <n v="9"/>
    <m/>
    <m/>
    <n v="153"/>
  </r>
  <r>
    <x v="5"/>
    <x v="0"/>
    <s v="S12000034"/>
    <x v="20"/>
    <n v="315"/>
    <m/>
    <n v="285"/>
    <m/>
    <m/>
    <n v="30"/>
  </r>
  <r>
    <x v="5"/>
    <x v="0"/>
    <s v="S12000035"/>
    <x v="21"/>
    <n v="434"/>
    <m/>
    <n v="177"/>
    <m/>
    <n v="203"/>
    <n v="54"/>
  </r>
  <r>
    <x v="5"/>
    <x v="0"/>
    <s v="S12000036"/>
    <x v="22"/>
    <n v="306"/>
    <m/>
    <n v="9"/>
    <m/>
    <m/>
    <n v="297"/>
  </r>
  <r>
    <x v="5"/>
    <x v="0"/>
    <s v="S12000038"/>
    <x v="23"/>
    <n v="116"/>
    <m/>
    <n v="17"/>
    <m/>
    <m/>
    <n v="99"/>
  </r>
  <r>
    <x v="5"/>
    <x v="0"/>
    <s v="S12000039"/>
    <x v="24"/>
    <n v="93"/>
    <m/>
    <n v="20"/>
    <m/>
    <m/>
    <n v="73"/>
  </r>
  <r>
    <x v="5"/>
    <x v="0"/>
    <s v="S12000040"/>
    <x v="25"/>
    <n v="115"/>
    <m/>
    <n v="59"/>
    <m/>
    <m/>
    <n v="56"/>
  </r>
  <r>
    <x v="5"/>
    <x v="0"/>
    <s v="S12000041"/>
    <x v="26"/>
    <n v="126"/>
    <m/>
    <n v="98"/>
    <m/>
    <m/>
    <n v="28"/>
  </r>
  <r>
    <x v="5"/>
    <x v="0"/>
    <s v="S12000042"/>
    <x v="27"/>
    <n v="189"/>
    <m/>
    <n v="12"/>
    <m/>
    <m/>
    <n v="177"/>
  </r>
  <r>
    <x v="5"/>
    <x v="0"/>
    <s v="S12000044"/>
    <x v="28"/>
    <n v="201"/>
    <m/>
    <n v="35"/>
    <m/>
    <m/>
    <n v="166"/>
  </r>
  <r>
    <x v="5"/>
    <x v="0"/>
    <s v="S12000045"/>
    <x v="29"/>
    <n v="78"/>
    <m/>
    <m/>
    <m/>
    <m/>
    <n v="78"/>
  </r>
  <r>
    <x v="5"/>
    <x v="0"/>
    <s v="S12000046"/>
    <x v="30"/>
    <n v="515"/>
    <m/>
    <m/>
    <m/>
    <m/>
    <n v="515"/>
  </r>
  <r>
    <x v="5"/>
    <x v="0"/>
    <s v="S12000047"/>
    <x v="31"/>
    <n v="391"/>
    <m/>
    <n v="117"/>
    <m/>
    <m/>
    <n v="274"/>
  </r>
  <r>
    <x v="5"/>
    <x v="1"/>
    <m/>
    <x v="47"/>
    <n v="2"/>
    <m/>
    <m/>
    <m/>
    <m/>
    <n v="2"/>
  </r>
  <r>
    <x v="5"/>
    <x v="1"/>
    <s v="S39000001"/>
    <x v="19"/>
    <n v="17"/>
    <m/>
    <m/>
    <m/>
    <m/>
    <n v="17"/>
  </r>
  <r>
    <x v="5"/>
    <x v="1"/>
    <s v="S39000002"/>
    <x v="32"/>
    <n v="25"/>
    <m/>
    <m/>
    <m/>
    <m/>
    <n v="25"/>
  </r>
  <r>
    <x v="5"/>
    <x v="1"/>
    <s v="S39000003"/>
    <x v="33"/>
    <n v="26"/>
    <m/>
    <m/>
    <m/>
    <m/>
    <n v="26"/>
  </r>
  <r>
    <x v="5"/>
    <x v="1"/>
    <s v="S39000004"/>
    <x v="1"/>
    <n v="22"/>
    <m/>
    <m/>
    <m/>
    <m/>
    <n v="22"/>
  </r>
  <r>
    <x v="5"/>
    <x v="1"/>
    <s v="S39000006"/>
    <x v="34"/>
    <n v="25"/>
    <m/>
    <m/>
    <m/>
    <m/>
    <n v="25"/>
  </r>
  <r>
    <x v="5"/>
    <x v="1"/>
    <s v="S39000007"/>
    <x v="35"/>
    <n v="25"/>
    <m/>
    <m/>
    <m/>
    <m/>
    <n v="25"/>
  </r>
  <r>
    <x v="5"/>
    <x v="1"/>
    <s v="S39000008"/>
    <x v="36"/>
    <n v="14"/>
    <m/>
    <m/>
    <m/>
    <m/>
    <n v="14"/>
  </r>
  <r>
    <x v="5"/>
    <x v="1"/>
    <s v="S39000009"/>
    <x v="37"/>
    <n v="30"/>
    <m/>
    <m/>
    <m/>
    <m/>
    <n v="30"/>
  </r>
  <r>
    <x v="5"/>
    <x v="1"/>
    <s v="S39000010"/>
    <x v="38"/>
    <n v="20"/>
    <m/>
    <m/>
    <m/>
    <m/>
    <n v="20"/>
  </r>
  <r>
    <x v="5"/>
    <x v="1"/>
    <s v="S39000012"/>
    <x v="30"/>
    <n v="25"/>
    <m/>
    <m/>
    <m/>
    <m/>
    <n v="25"/>
  </r>
  <r>
    <x v="5"/>
    <x v="1"/>
    <s v="S39000013"/>
    <x v="39"/>
    <n v="43"/>
    <m/>
    <m/>
    <m/>
    <m/>
    <n v="43"/>
  </r>
  <r>
    <x v="5"/>
    <x v="1"/>
    <s v="S39000014"/>
    <x v="28"/>
    <n v="17"/>
    <m/>
    <m/>
    <m/>
    <m/>
    <n v="17"/>
  </r>
  <r>
    <x v="5"/>
    <x v="1"/>
    <s v="S39000015"/>
    <x v="17"/>
    <n v="16"/>
    <m/>
    <m/>
    <m/>
    <m/>
    <n v="16"/>
  </r>
  <r>
    <x v="5"/>
    <x v="1"/>
    <s v="S39000016"/>
    <x v="40"/>
    <n v="18"/>
    <m/>
    <m/>
    <m/>
    <m/>
    <n v="18"/>
  </r>
  <r>
    <x v="5"/>
    <x v="1"/>
    <s v="S39000017"/>
    <x v="41"/>
    <n v="16"/>
    <m/>
    <m/>
    <m/>
    <m/>
    <n v="16"/>
  </r>
  <r>
    <x v="5"/>
    <x v="1"/>
    <s v="S39000018"/>
    <x v="42"/>
    <n v="29"/>
    <m/>
    <m/>
    <m/>
    <m/>
    <n v="29"/>
  </r>
  <r>
    <x v="5"/>
    <x v="1"/>
    <s v="S39000019"/>
    <x v="31"/>
    <n v="18"/>
    <m/>
    <m/>
    <m/>
    <m/>
    <n v="18"/>
  </r>
  <r>
    <x v="5"/>
    <x v="2"/>
    <s v="S40000003"/>
    <x v="43"/>
    <n v="325"/>
    <m/>
    <m/>
    <n v="246"/>
    <m/>
    <n v="79"/>
  </r>
  <r>
    <x v="5"/>
    <x v="2"/>
    <s v="S40000004"/>
    <x v="44"/>
    <n v="139"/>
    <m/>
    <m/>
    <n v="102"/>
    <m/>
    <n v="37"/>
  </r>
  <r>
    <x v="5"/>
    <x v="2"/>
    <s v="S40000005"/>
    <x v="45"/>
    <n v="171"/>
    <m/>
    <m/>
    <n v="141"/>
    <m/>
    <n v="30"/>
  </r>
  <r>
    <x v="5"/>
    <x v="3"/>
    <s v="S92000003"/>
    <x v="46"/>
    <n v="659"/>
    <n v="207"/>
    <m/>
    <n v="303"/>
    <m/>
    <n v="149"/>
  </r>
</pivotCacheRecords>
</file>

<file path=xl/pivotCache/pivotCacheRecords29.xml><?xml version="1.0" encoding="utf-8"?>
<pivotCacheRecords xmlns="http://schemas.openxmlformats.org/spreadsheetml/2006/main" xmlns:r="http://schemas.openxmlformats.org/officeDocument/2006/relationships" count="24">
  <r>
    <x v="0"/>
    <x v="0"/>
    <s v="S40000003"/>
    <x v="0"/>
    <n v="416"/>
    <m/>
    <n v="4"/>
    <n v="4"/>
    <n v="8"/>
    <n v="107"/>
    <n v="149"/>
    <n v="144"/>
  </r>
  <r>
    <x v="0"/>
    <x v="0"/>
    <s v="S40000004"/>
    <x v="1"/>
    <n v="175"/>
    <m/>
    <n v="6"/>
    <n v="2"/>
    <n v="7"/>
    <n v="46"/>
    <n v="66"/>
    <n v="48"/>
  </r>
  <r>
    <x v="0"/>
    <x v="0"/>
    <s v="S40000005"/>
    <x v="2"/>
    <n v="133"/>
    <m/>
    <n v="4"/>
    <n v="5"/>
    <n v="6"/>
    <n v="59"/>
    <n v="19"/>
    <n v="40"/>
  </r>
  <r>
    <x v="0"/>
    <x v="1"/>
    <s v="S92000003"/>
    <x v="3"/>
    <n v="237"/>
    <m/>
    <n v="56"/>
    <n v="9"/>
    <n v="24"/>
    <n v="102"/>
    <n v="0"/>
    <n v="46"/>
  </r>
  <r>
    <x v="1"/>
    <x v="0"/>
    <s v="S40000003"/>
    <x v="0"/>
    <n v="340"/>
    <m/>
    <n v="3"/>
    <n v="9"/>
    <n v="14"/>
    <n v="113"/>
    <n v="109"/>
    <n v="92"/>
  </r>
  <r>
    <x v="1"/>
    <x v="0"/>
    <s v="S40000004"/>
    <x v="1"/>
    <n v="163"/>
    <m/>
    <n v="3"/>
    <n v="7"/>
    <n v="12"/>
    <n v="48"/>
    <n v="65"/>
    <n v="28"/>
  </r>
  <r>
    <x v="1"/>
    <x v="0"/>
    <s v="S40000005"/>
    <x v="2"/>
    <n v="126"/>
    <m/>
    <n v="3"/>
    <n v="7"/>
    <n v="6"/>
    <n v="64"/>
    <n v="19"/>
    <n v="27"/>
  </r>
  <r>
    <x v="1"/>
    <x v="1"/>
    <s v="S92000003"/>
    <x v="3"/>
    <n v="238"/>
    <n v="2"/>
    <n v="35"/>
    <n v="13"/>
    <n v="27"/>
    <n v="112"/>
    <n v="0"/>
    <n v="49"/>
  </r>
  <r>
    <x v="2"/>
    <x v="0"/>
    <s v="S40000003"/>
    <x v="0"/>
    <n v="286"/>
    <m/>
    <n v="2"/>
    <n v="10"/>
    <n v="15"/>
    <n v="110"/>
    <n v="84"/>
    <n v="65"/>
  </r>
  <r>
    <x v="2"/>
    <x v="0"/>
    <s v="S40000004"/>
    <x v="1"/>
    <n v="124"/>
    <m/>
    <n v="3"/>
    <n v="5"/>
    <n v="13"/>
    <n v="35"/>
    <n v="56"/>
    <n v="12"/>
  </r>
  <r>
    <x v="2"/>
    <x v="0"/>
    <s v="S40000005"/>
    <x v="2"/>
    <n v="121"/>
    <m/>
    <n v="3"/>
    <n v="7"/>
    <n v="11"/>
    <n v="61"/>
    <n v="20"/>
    <n v="19"/>
  </r>
  <r>
    <x v="2"/>
    <x v="1"/>
    <s v="S92000003"/>
    <x v="3"/>
    <n v="297"/>
    <n v="3"/>
    <n v="32"/>
    <n v="12"/>
    <n v="35"/>
    <n v="110"/>
    <n v="7"/>
    <n v="98"/>
  </r>
  <r>
    <x v="3"/>
    <x v="0"/>
    <s v="S40000003"/>
    <x v="0"/>
    <n v="294"/>
    <m/>
    <n v="2"/>
    <n v="10"/>
    <n v="15"/>
    <n v="120"/>
    <n v="89"/>
    <n v="58"/>
  </r>
  <r>
    <x v="3"/>
    <x v="0"/>
    <s v="S40000004"/>
    <x v="1"/>
    <n v="142"/>
    <m/>
    <n v="3"/>
    <n v="5"/>
    <n v="13"/>
    <n v="48"/>
    <n v="54"/>
    <n v="19"/>
  </r>
  <r>
    <x v="3"/>
    <x v="0"/>
    <s v="S40000005"/>
    <x v="2"/>
    <n v="135"/>
    <m/>
    <n v="3"/>
    <n v="7"/>
    <n v="12"/>
    <n v="75"/>
    <n v="14"/>
    <n v="24"/>
  </r>
  <r>
    <x v="3"/>
    <x v="1"/>
    <s v="S92000003"/>
    <x v="3"/>
    <n v="267"/>
    <n v="3"/>
    <n v="34"/>
    <n v="12"/>
    <n v="38"/>
    <n v="103"/>
    <n v="8"/>
    <n v="69"/>
  </r>
  <r>
    <x v="4"/>
    <x v="0"/>
    <s v="S40000003"/>
    <x v="0"/>
    <n v="300"/>
    <m/>
    <n v="2"/>
    <n v="10"/>
    <n v="16"/>
    <n v="133"/>
    <n v="82"/>
    <n v="57"/>
  </r>
  <r>
    <x v="4"/>
    <x v="0"/>
    <s v="S40000004"/>
    <x v="1"/>
    <n v="128"/>
    <m/>
    <n v="3"/>
    <n v="3"/>
    <n v="11"/>
    <n v="45"/>
    <n v="49"/>
    <n v="17"/>
  </r>
  <r>
    <x v="4"/>
    <x v="0"/>
    <s v="S40000005"/>
    <x v="2"/>
    <n v="141"/>
    <m/>
    <n v="3"/>
    <n v="8"/>
    <n v="11"/>
    <n v="81"/>
    <n v="15"/>
    <n v="23"/>
  </r>
  <r>
    <x v="4"/>
    <x v="1"/>
    <s v="S92000003"/>
    <x v="3"/>
    <n v="277"/>
    <n v="2"/>
    <n v="42"/>
    <n v="11"/>
    <n v="41"/>
    <n v="107"/>
    <n v="7"/>
    <n v="67"/>
  </r>
  <r>
    <x v="5"/>
    <x v="0"/>
    <s v="S40000003"/>
    <x v="0"/>
    <n v="246"/>
    <m/>
    <n v="2"/>
    <n v="9"/>
    <n v="15"/>
    <n v="134"/>
    <n v="28"/>
    <n v="58"/>
  </r>
  <r>
    <x v="5"/>
    <x v="0"/>
    <s v="S40000004"/>
    <x v="1"/>
    <n v="102"/>
    <m/>
    <n v="2"/>
    <n v="4"/>
    <n v="11"/>
    <n v="49"/>
    <n v="18"/>
    <n v="18"/>
  </r>
  <r>
    <x v="5"/>
    <x v="0"/>
    <s v="S40000005"/>
    <x v="2"/>
    <n v="141"/>
    <m/>
    <n v="3"/>
    <n v="9"/>
    <n v="11"/>
    <n v="77"/>
    <n v="17"/>
    <n v="24"/>
  </r>
  <r>
    <x v="5"/>
    <x v="1"/>
    <s v="S92000003"/>
    <x v="3"/>
    <n v="303"/>
    <n v="3"/>
    <n v="42"/>
    <n v="12"/>
    <n v="47"/>
    <n v="128"/>
    <n v="1"/>
    <n v="70"/>
  </r>
</pivotCacheRecords>
</file>

<file path=xl/pivotCache/pivotCacheRecords3.xml><?xml version="1.0" encoding="utf-8"?>
<pivotCacheRecords xmlns="http://schemas.openxmlformats.org/spreadsheetml/2006/main" xmlns:r="http://schemas.openxmlformats.org/officeDocument/2006/relationships" count="9">
  <r>
    <x v="0"/>
    <x v="0"/>
    <x v="0"/>
    <n v="0"/>
    <n v="0"/>
    <n v="0"/>
    <n v="1"/>
    <n v="1"/>
  </r>
  <r>
    <x v="0"/>
    <x v="0"/>
    <x v="1"/>
    <n v="1"/>
    <n v="3"/>
    <n v="0"/>
    <n v="0"/>
    <n v="4"/>
  </r>
  <r>
    <x v="0"/>
    <x v="0"/>
    <x v="2"/>
    <n v="1"/>
    <n v="1"/>
    <n v="0"/>
    <n v="0"/>
    <n v="2"/>
  </r>
  <r>
    <x v="0"/>
    <x v="0"/>
    <x v="3"/>
    <n v="1"/>
    <n v="1"/>
    <n v="1"/>
    <n v="2"/>
    <n v="5"/>
  </r>
  <r>
    <x v="0"/>
    <x v="0"/>
    <x v="4"/>
    <m/>
    <n v="2"/>
    <m/>
    <m/>
    <n v="2"/>
  </r>
  <r>
    <x v="0"/>
    <x v="0"/>
    <x v="5"/>
    <n v="2"/>
    <n v="3"/>
    <m/>
    <m/>
    <n v="5"/>
  </r>
  <r>
    <x v="0"/>
    <x v="0"/>
    <x v="6"/>
    <n v="3"/>
    <n v="4"/>
    <m/>
    <m/>
    <n v="7"/>
  </r>
  <r>
    <x v="0"/>
    <x v="1"/>
    <x v="7"/>
    <m/>
    <n v="2"/>
    <m/>
    <m/>
    <n v="2"/>
  </r>
  <r>
    <x v="0"/>
    <x v="0"/>
    <x v="7"/>
    <n v="1"/>
    <m/>
    <m/>
    <m/>
    <n v="1"/>
  </r>
</pivotCacheRecords>
</file>

<file path=xl/pivotCache/pivotCacheRecords30.xml><?xml version="1.0" encoding="utf-8"?>
<pivotCacheRecords xmlns="http://schemas.openxmlformats.org/spreadsheetml/2006/main" xmlns:r="http://schemas.openxmlformats.org/officeDocument/2006/relationships" count="336">
  <r>
    <x v="0"/>
    <x v="0"/>
    <m/>
    <x v="0"/>
    <n v="3391.76"/>
    <n v="0"/>
    <n v="0"/>
    <n v="608"/>
    <n v="2354.7600000000002"/>
    <n v="0"/>
    <n v="13"/>
    <n v="416"/>
  </r>
  <r>
    <x v="0"/>
    <x v="0"/>
    <m/>
    <x v="1"/>
    <n v="43"/>
    <n v="0"/>
    <n v="0"/>
    <n v="9"/>
    <n v="30"/>
    <n v="0"/>
    <n v="0"/>
    <n v="4"/>
  </r>
  <r>
    <x v="0"/>
    <x v="0"/>
    <m/>
    <x v="2"/>
    <n v="69"/>
    <n v="0"/>
    <n v="0"/>
    <n v="11"/>
    <n v="53"/>
    <n v="0"/>
    <n v="0"/>
    <n v="5"/>
  </r>
  <r>
    <x v="0"/>
    <x v="0"/>
    <m/>
    <x v="3"/>
    <n v="59"/>
    <n v="0"/>
    <n v="0"/>
    <n v="11"/>
    <n v="40"/>
    <n v="0"/>
    <n v="0"/>
    <n v="8"/>
  </r>
  <r>
    <x v="0"/>
    <x v="0"/>
    <m/>
    <x v="4"/>
    <n v="29"/>
    <n v="0"/>
    <n v="0"/>
    <n v="5"/>
    <n v="21"/>
    <n v="0"/>
    <n v="0"/>
    <n v="3"/>
  </r>
  <r>
    <x v="0"/>
    <x v="0"/>
    <m/>
    <x v="5"/>
    <n v="59"/>
    <n v="0"/>
    <n v="0"/>
    <n v="14"/>
    <n v="34"/>
    <n v="0"/>
    <n v="0"/>
    <n v="11"/>
  </r>
  <r>
    <x v="0"/>
    <x v="0"/>
    <m/>
    <x v="6"/>
    <n v="0"/>
    <n v="0"/>
    <n v="0"/>
    <n v="0"/>
    <n v="0"/>
    <n v="0"/>
    <n v="0"/>
    <n v="0"/>
  </r>
  <r>
    <x v="0"/>
    <x v="0"/>
    <m/>
    <x v="7"/>
    <n v="96"/>
    <n v="0"/>
    <n v="0"/>
    <n v="18"/>
    <n v="65"/>
    <n v="0"/>
    <n v="1"/>
    <n v="12"/>
  </r>
  <r>
    <x v="0"/>
    <x v="0"/>
    <m/>
    <x v="8"/>
    <n v="81"/>
    <n v="0"/>
    <n v="0"/>
    <n v="9"/>
    <n v="60"/>
    <n v="0"/>
    <n v="2"/>
    <n v="10"/>
  </r>
  <r>
    <x v="0"/>
    <x v="0"/>
    <m/>
    <x v="9"/>
    <n v="78"/>
    <n v="0"/>
    <n v="0"/>
    <n v="18"/>
    <n v="49"/>
    <n v="0"/>
    <n v="0"/>
    <n v="11"/>
  </r>
  <r>
    <x v="0"/>
    <x v="0"/>
    <m/>
    <x v="10"/>
    <n v="35"/>
    <n v="0"/>
    <n v="0"/>
    <n v="4"/>
    <n v="26"/>
    <n v="0"/>
    <n v="0"/>
    <n v="5"/>
  </r>
  <r>
    <x v="0"/>
    <x v="0"/>
    <m/>
    <x v="11"/>
    <n v="20"/>
    <n v="0"/>
    <n v="0"/>
    <n v="2"/>
    <n v="15"/>
    <n v="0"/>
    <n v="0"/>
    <n v="3"/>
  </r>
  <r>
    <x v="0"/>
    <x v="0"/>
    <m/>
    <x v="12"/>
    <n v="76"/>
    <n v="0"/>
    <n v="0"/>
    <n v="13"/>
    <n v="50"/>
    <n v="0"/>
    <n v="0"/>
    <n v="13"/>
  </r>
  <r>
    <x v="0"/>
    <x v="0"/>
    <m/>
    <x v="13"/>
    <n v="0"/>
    <n v="0"/>
    <n v="0"/>
    <n v="0"/>
    <n v="0"/>
    <n v="0"/>
    <n v="0"/>
    <n v="0"/>
  </r>
  <r>
    <x v="0"/>
    <x v="0"/>
    <m/>
    <x v="14"/>
    <n v="88"/>
    <n v="0"/>
    <n v="0"/>
    <n v="14"/>
    <n v="61"/>
    <n v="0"/>
    <n v="2"/>
    <n v="11"/>
  </r>
  <r>
    <x v="0"/>
    <x v="0"/>
    <m/>
    <x v="15"/>
    <n v="75"/>
    <n v="0"/>
    <n v="0"/>
    <n v="11"/>
    <n v="54"/>
    <n v="0"/>
    <n v="0"/>
    <n v="10"/>
  </r>
  <r>
    <x v="0"/>
    <x v="0"/>
    <m/>
    <x v="16"/>
    <n v="0"/>
    <n v="0"/>
    <n v="0"/>
    <n v="0"/>
    <n v="0"/>
    <n v="0"/>
    <n v="0"/>
    <n v="0"/>
  </r>
  <r>
    <x v="0"/>
    <x v="0"/>
    <m/>
    <x v="17"/>
    <n v="65"/>
    <n v="0"/>
    <n v="0"/>
    <n v="10"/>
    <n v="47"/>
    <n v="0"/>
    <n v="0"/>
    <n v="8"/>
  </r>
  <r>
    <x v="0"/>
    <x v="0"/>
    <m/>
    <x v="18"/>
    <n v="190"/>
    <n v="0"/>
    <n v="0"/>
    <n v="33"/>
    <n v="129"/>
    <n v="0"/>
    <n v="2"/>
    <n v="26"/>
  </r>
  <r>
    <x v="0"/>
    <x v="0"/>
    <m/>
    <x v="19"/>
    <n v="61.76"/>
    <n v="0"/>
    <n v="0"/>
    <n v="10"/>
    <n v="41.76"/>
    <n v="0"/>
    <n v="0"/>
    <n v="10"/>
  </r>
  <r>
    <x v="0"/>
    <x v="0"/>
    <m/>
    <x v="20"/>
    <n v="174"/>
    <n v="0"/>
    <n v="0"/>
    <n v="24"/>
    <n v="128"/>
    <n v="0"/>
    <n v="0"/>
    <n v="22"/>
  </r>
  <r>
    <x v="0"/>
    <x v="0"/>
    <m/>
    <x v="21"/>
    <n v="23"/>
    <n v="0"/>
    <n v="0"/>
    <n v="3"/>
    <n v="16"/>
    <n v="0"/>
    <n v="0"/>
    <n v="4"/>
  </r>
  <r>
    <x v="0"/>
    <x v="0"/>
    <m/>
    <x v="22"/>
    <n v="58"/>
    <n v="0"/>
    <n v="0"/>
    <n v="10"/>
    <n v="31"/>
    <n v="0"/>
    <n v="2"/>
    <n v="15"/>
  </r>
  <r>
    <x v="0"/>
    <x v="0"/>
    <m/>
    <x v="23"/>
    <n v="370"/>
    <n v="0"/>
    <n v="0"/>
    <n v="70"/>
    <n v="275"/>
    <n v="0"/>
    <n v="0"/>
    <n v="25"/>
  </r>
  <r>
    <x v="0"/>
    <x v="0"/>
    <m/>
    <x v="24"/>
    <n v="116"/>
    <n v="0"/>
    <n v="0"/>
    <n v="22"/>
    <n v="74"/>
    <n v="0"/>
    <n v="1"/>
    <n v="19"/>
  </r>
  <r>
    <x v="0"/>
    <x v="0"/>
    <m/>
    <x v="25"/>
    <n v="80"/>
    <n v="0"/>
    <n v="0"/>
    <n v="18"/>
    <n v="52"/>
    <n v="0"/>
    <n v="0"/>
    <n v="10"/>
  </r>
  <r>
    <x v="0"/>
    <x v="0"/>
    <m/>
    <x v="26"/>
    <n v="85"/>
    <n v="0"/>
    <n v="0"/>
    <n v="14"/>
    <n v="61"/>
    <n v="0"/>
    <n v="0"/>
    <n v="10"/>
  </r>
  <r>
    <x v="0"/>
    <x v="0"/>
    <m/>
    <x v="27"/>
    <n v="35"/>
    <n v="0"/>
    <n v="0"/>
    <n v="0"/>
    <n v="25"/>
    <n v="0"/>
    <n v="1"/>
    <n v="9"/>
  </r>
  <r>
    <x v="0"/>
    <x v="0"/>
    <m/>
    <x v="28"/>
    <n v="215"/>
    <n v="0"/>
    <n v="0"/>
    <n v="29"/>
    <n v="162"/>
    <n v="0"/>
    <n v="1"/>
    <n v="23"/>
  </r>
  <r>
    <x v="0"/>
    <x v="0"/>
    <m/>
    <x v="29"/>
    <n v="188"/>
    <n v="0"/>
    <n v="0"/>
    <n v="34"/>
    <n v="129"/>
    <n v="0"/>
    <n v="1"/>
    <n v="24"/>
  </r>
  <r>
    <x v="0"/>
    <x v="0"/>
    <m/>
    <x v="30"/>
    <n v="74"/>
    <n v="0"/>
    <n v="0"/>
    <n v="15"/>
    <n v="45"/>
    <n v="0"/>
    <n v="0"/>
    <n v="14"/>
  </r>
  <r>
    <x v="0"/>
    <x v="0"/>
    <m/>
    <x v="31"/>
    <n v="560"/>
    <n v="0"/>
    <n v="0"/>
    <n v="119"/>
    <n v="373"/>
    <n v="0"/>
    <n v="0"/>
    <n v="68"/>
  </r>
  <r>
    <x v="0"/>
    <x v="0"/>
    <m/>
    <x v="32"/>
    <n v="289"/>
    <n v="0"/>
    <n v="0"/>
    <n v="58"/>
    <n v="208"/>
    <n v="0"/>
    <n v="0"/>
    <n v="23"/>
  </r>
  <r>
    <x v="0"/>
    <x v="1"/>
    <m/>
    <x v="0"/>
    <n v="285"/>
    <n v="17"/>
    <n v="0"/>
    <n v="5"/>
    <n v="15"/>
    <n v="69"/>
    <n v="85"/>
    <n v="94"/>
  </r>
  <r>
    <x v="0"/>
    <x v="1"/>
    <m/>
    <x v="20"/>
    <n v="23"/>
    <n v="1"/>
    <n v="0"/>
    <n v="0"/>
    <n v="1"/>
    <n v="7"/>
    <n v="6"/>
    <n v="8"/>
  </r>
  <r>
    <x v="0"/>
    <x v="1"/>
    <m/>
    <x v="33"/>
    <n v="15"/>
    <n v="1"/>
    <n v="0"/>
    <n v="0"/>
    <n v="0"/>
    <n v="2"/>
    <n v="4"/>
    <n v="8"/>
  </r>
  <r>
    <x v="0"/>
    <x v="1"/>
    <m/>
    <x v="34"/>
    <n v="22"/>
    <n v="1"/>
    <n v="0"/>
    <n v="1"/>
    <n v="1"/>
    <n v="3"/>
    <n v="6"/>
    <n v="10"/>
  </r>
  <r>
    <x v="0"/>
    <x v="1"/>
    <m/>
    <x v="2"/>
    <n v="16"/>
    <n v="0"/>
    <n v="0"/>
    <n v="0"/>
    <n v="0"/>
    <n v="2"/>
    <n v="5"/>
    <n v="9"/>
  </r>
  <r>
    <x v="0"/>
    <x v="1"/>
    <m/>
    <x v="35"/>
    <n v="21"/>
    <n v="1"/>
    <n v="0"/>
    <n v="0"/>
    <n v="5"/>
    <n v="7"/>
    <n v="0"/>
    <n v="8"/>
  </r>
  <r>
    <x v="0"/>
    <x v="1"/>
    <m/>
    <x v="36"/>
    <n v="12"/>
    <n v="1"/>
    <n v="0"/>
    <n v="0"/>
    <n v="1"/>
    <n v="3"/>
    <n v="5"/>
    <n v="2"/>
  </r>
  <r>
    <x v="0"/>
    <x v="1"/>
    <m/>
    <x v="37"/>
    <n v="23"/>
    <n v="1"/>
    <n v="0"/>
    <n v="0"/>
    <n v="0"/>
    <n v="9"/>
    <n v="7"/>
    <n v="6"/>
  </r>
  <r>
    <x v="0"/>
    <x v="1"/>
    <m/>
    <x v="38"/>
    <n v="26"/>
    <n v="2"/>
    <n v="0"/>
    <n v="3"/>
    <n v="2"/>
    <n v="9"/>
    <n v="3"/>
    <n v="7"/>
  </r>
  <r>
    <x v="0"/>
    <x v="1"/>
    <m/>
    <x v="39"/>
    <n v="13"/>
    <n v="1"/>
    <n v="0"/>
    <n v="0"/>
    <n v="2"/>
    <n v="2"/>
    <n v="2"/>
    <n v="6"/>
  </r>
  <r>
    <x v="0"/>
    <x v="1"/>
    <m/>
    <x v="31"/>
    <n v="28"/>
    <n v="1"/>
    <n v="0"/>
    <n v="0"/>
    <n v="3"/>
    <n v="4"/>
    <n v="10"/>
    <n v="10"/>
  </r>
  <r>
    <x v="0"/>
    <x v="1"/>
    <m/>
    <x v="40"/>
    <n v="13"/>
    <n v="1"/>
    <n v="0"/>
    <n v="0"/>
    <n v="0"/>
    <n v="4"/>
    <n v="7"/>
    <n v="1"/>
  </r>
  <r>
    <x v="0"/>
    <x v="1"/>
    <m/>
    <x v="29"/>
    <n v="14"/>
    <n v="1"/>
    <n v="0"/>
    <n v="1"/>
    <n v="0"/>
    <n v="2"/>
    <n v="6"/>
    <n v="4"/>
  </r>
  <r>
    <x v="0"/>
    <x v="1"/>
    <m/>
    <x v="18"/>
    <n v="10"/>
    <n v="1"/>
    <n v="0"/>
    <n v="0"/>
    <n v="0"/>
    <n v="3"/>
    <n v="4"/>
    <n v="2"/>
  </r>
  <r>
    <x v="0"/>
    <x v="1"/>
    <m/>
    <x v="41"/>
    <n v="8"/>
    <n v="1"/>
    <n v="0"/>
    <n v="0"/>
    <n v="0"/>
    <n v="3"/>
    <n v="4"/>
    <n v="0"/>
  </r>
  <r>
    <x v="0"/>
    <x v="1"/>
    <m/>
    <x v="42"/>
    <n v="9"/>
    <n v="1"/>
    <n v="0"/>
    <n v="0"/>
    <n v="0"/>
    <n v="3"/>
    <n v="5"/>
    <n v="0"/>
  </r>
  <r>
    <x v="0"/>
    <x v="1"/>
    <m/>
    <x v="43"/>
    <n v="11"/>
    <n v="1"/>
    <n v="0"/>
    <n v="0"/>
    <n v="0"/>
    <n v="3"/>
    <n v="5"/>
    <n v="2"/>
  </r>
  <r>
    <x v="0"/>
    <x v="1"/>
    <m/>
    <x v="32"/>
    <n v="21"/>
    <n v="1"/>
    <n v="0"/>
    <n v="0"/>
    <n v="0"/>
    <n v="3"/>
    <n v="6"/>
    <n v="11"/>
  </r>
  <r>
    <x v="0"/>
    <x v="2"/>
    <m/>
    <x v="0"/>
    <n v="268"/>
    <n v="6"/>
    <n v="3"/>
    <n v="40"/>
    <n v="4"/>
    <n v="24"/>
    <n v="33"/>
    <n v="158"/>
  </r>
  <r>
    <x v="0"/>
    <x v="2"/>
    <m/>
    <x v="44"/>
    <n v="111"/>
    <n v="3"/>
    <n v="1"/>
    <n v="8"/>
    <n v="0"/>
    <n v="12"/>
    <n v="8"/>
    <n v="79"/>
  </r>
  <r>
    <x v="0"/>
    <x v="2"/>
    <m/>
    <x v="45"/>
    <n v="80"/>
    <n v="1"/>
    <n v="1"/>
    <n v="8"/>
    <n v="3"/>
    <n v="3"/>
    <n v="15"/>
    <n v="49"/>
  </r>
  <r>
    <x v="0"/>
    <x v="2"/>
    <m/>
    <x v="46"/>
    <n v="77"/>
    <n v="2"/>
    <n v="1"/>
    <n v="24"/>
    <n v="1"/>
    <n v="9"/>
    <n v="10"/>
    <n v="30"/>
  </r>
  <r>
    <x v="0"/>
    <x v="3"/>
    <m/>
    <x v="47"/>
    <n v="56"/>
    <n v="5"/>
    <n v="6"/>
    <n v="7"/>
    <n v="0"/>
    <n v="22"/>
    <n v="5"/>
    <n v="11"/>
  </r>
  <r>
    <x v="0"/>
    <x v="4"/>
    <m/>
    <x v="47"/>
    <n v="4000.76"/>
    <n v="28"/>
    <n v="9"/>
    <n v="660"/>
    <n v="2373.7600000000002"/>
    <n v="115"/>
    <n v="136"/>
    <n v="679"/>
  </r>
  <r>
    <x v="1"/>
    <x v="0"/>
    <m/>
    <x v="0"/>
    <n v="3285"/>
    <m/>
    <m/>
    <n v="592"/>
    <n v="2263"/>
    <m/>
    <n v="14"/>
    <n v="416"/>
  </r>
  <r>
    <x v="1"/>
    <x v="0"/>
    <m/>
    <x v="1"/>
    <n v="37"/>
    <m/>
    <m/>
    <n v="8"/>
    <n v="25"/>
    <m/>
    <n v="0"/>
    <n v="4"/>
  </r>
  <r>
    <x v="1"/>
    <x v="0"/>
    <m/>
    <x v="2"/>
    <n v="69"/>
    <m/>
    <m/>
    <n v="11"/>
    <n v="52"/>
    <m/>
    <n v="0"/>
    <n v="6"/>
  </r>
  <r>
    <x v="1"/>
    <x v="0"/>
    <m/>
    <x v="3"/>
    <n v="56"/>
    <m/>
    <m/>
    <n v="9"/>
    <n v="39"/>
    <m/>
    <n v="0"/>
    <n v="8"/>
  </r>
  <r>
    <x v="1"/>
    <x v="0"/>
    <m/>
    <x v="4"/>
    <n v="28"/>
    <m/>
    <m/>
    <n v="3"/>
    <n v="21"/>
    <m/>
    <n v="0"/>
    <n v="4"/>
  </r>
  <r>
    <x v="1"/>
    <x v="0"/>
    <m/>
    <x v="5"/>
    <n v="57"/>
    <m/>
    <m/>
    <n v="13"/>
    <n v="35"/>
    <m/>
    <n v="0"/>
    <n v="9"/>
  </r>
  <r>
    <x v="1"/>
    <x v="0"/>
    <m/>
    <x v="6"/>
    <n v="0"/>
    <m/>
    <m/>
    <n v="0"/>
    <n v="0"/>
    <m/>
    <n v="0"/>
    <n v="0"/>
  </r>
  <r>
    <x v="1"/>
    <x v="0"/>
    <m/>
    <x v="7"/>
    <n v="94"/>
    <m/>
    <m/>
    <n v="17"/>
    <n v="60"/>
    <m/>
    <n v="2"/>
    <n v="15"/>
  </r>
  <r>
    <x v="1"/>
    <x v="0"/>
    <m/>
    <x v="8"/>
    <n v="81"/>
    <m/>
    <m/>
    <n v="11"/>
    <n v="57"/>
    <m/>
    <n v="1"/>
    <n v="12"/>
  </r>
  <r>
    <x v="1"/>
    <x v="0"/>
    <m/>
    <x v="9"/>
    <n v="77"/>
    <m/>
    <m/>
    <n v="16"/>
    <n v="49"/>
    <m/>
    <n v="0"/>
    <n v="12"/>
  </r>
  <r>
    <x v="1"/>
    <x v="0"/>
    <m/>
    <x v="10"/>
    <n v="35"/>
    <m/>
    <m/>
    <n v="4"/>
    <n v="26"/>
    <m/>
    <n v="0"/>
    <n v="5"/>
  </r>
  <r>
    <x v="1"/>
    <x v="0"/>
    <m/>
    <x v="11"/>
    <n v="21"/>
    <m/>
    <m/>
    <n v="3"/>
    <n v="14"/>
    <m/>
    <n v="0"/>
    <n v="4"/>
  </r>
  <r>
    <x v="1"/>
    <x v="0"/>
    <m/>
    <x v="12"/>
    <n v="78"/>
    <m/>
    <m/>
    <n v="14"/>
    <n v="50"/>
    <m/>
    <n v="0"/>
    <n v="14"/>
  </r>
  <r>
    <x v="1"/>
    <x v="0"/>
    <m/>
    <x v="13"/>
    <n v="0"/>
    <m/>
    <m/>
    <n v="0"/>
    <n v="0"/>
    <m/>
    <n v="0"/>
    <n v="0"/>
  </r>
  <r>
    <x v="1"/>
    <x v="0"/>
    <m/>
    <x v="14"/>
    <n v="86"/>
    <m/>
    <m/>
    <n v="16"/>
    <n v="58"/>
    <m/>
    <n v="1"/>
    <n v="11"/>
  </r>
  <r>
    <x v="1"/>
    <x v="0"/>
    <m/>
    <x v="15"/>
    <n v="73"/>
    <m/>
    <m/>
    <n v="11"/>
    <n v="51"/>
    <m/>
    <n v="0"/>
    <n v="11"/>
  </r>
  <r>
    <x v="1"/>
    <x v="0"/>
    <m/>
    <x v="16"/>
    <n v="0"/>
    <m/>
    <m/>
    <n v="0"/>
    <n v="0"/>
    <m/>
    <n v="0"/>
    <n v="0"/>
  </r>
  <r>
    <x v="1"/>
    <x v="0"/>
    <m/>
    <x v="17"/>
    <n v="60"/>
    <m/>
    <m/>
    <n v="9"/>
    <n v="43"/>
    <m/>
    <n v="0"/>
    <n v="8"/>
  </r>
  <r>
    <x v="1"/>
    <x v="0"/>
    <m/>
    <x v="18"/>
    <n v="187"/>
    <m/>
    <m/>
    <n v="35"/>
    <n v="126"/>
    <m/>
    <n v="2"/>
    <n v="24"/>
  </r>
  <r>
    <x v="1"/>
    <x v="0"/>
    <m/>
    <x v="19"/>
    <n v="55"/>
    <m/>
    <m/>
    <n v="10"/>
    <n v="37"/>
    <m/>
    <n v="0"/>
    <n v="8"/>
  </r>
  <r>
    <x v="1"/>
    <x v="0"/>
    <m/>
    <x v="20"/>
    <n v="173"/>
    <m/>
    <m/>
    <n v="25"/>
    <n v="122"/>
    <m/>
    <n v="0"/>
    <n v="26"/>
  </r>
  <r>
    <x v="1"/>
    <x v="0"/>
    <m/>
    <x v="21"/>
    <n v="23"/>
    <m/>
    <m/>
    <n v="3"/>
    <n v="18"/>
    <m/>
    <n v="0"/>
    <n v="2"/>
  </r>
  <r>
    <x v="1"/>
    <x v="0"/>
    <m/>
    <x v="22"/>
    <n v="54"/>
    <m/>
    <m/>
    <n v="10"/>
    <n v="27"/>
    <m/>
    <n v="2"/>
    <n v="15"/>
  </r>
  <r>
    <x v="1"/>
    <x v="0"/>
    <m/>
    <x v="23"/>
    <n v="348"/>
    <m/>
    <m/>
    <n v="64"/>
    <n v="257"/>
    <m/>
    <n v="1"/>
    <n v="26"/>
  </r>
  <r>
    <x v="1"/>
    <x v="0"/>
    <m/>
    <x v="24"/>
    <n v="115"/>
    <m/>
    <m/>
    <n v="23"/>
    <n v="72"/>
    <m/>
    <n v="0"/>
    <n v="20"/>
  </r>
  <r>
    <x v="1"/>
    <x v="0"/>
    <m/>
    <x v="25"/>
    <n v="74"/>
    <m/>
    <m/>
    <n v="20"/>
    <n v="45"/>
    <m/>
    <n v="0"/>
    <n v="9"/>
  </r>
  <r>
    <x v="1"/>
    <x v="0"/>
    <m/>
    <x v="26"/>
    <n v="79"/>
    <m/>
    <m/>
    <n v="9"/>
    <n v="59"/>
    <m/>
    <n v="1"/>
    <n v="10"/>
  </r>
  <r>
    <x v="1"/>
    <x v="0"/>
    <m/>
    <x v="27"/>
    <n v="27"/>
    <m/>
    <m/>
    <n v="0"/>
    <n v="22"/>
    <m/>
    <n v="1"/>
    <n v="4"/>
  </r>
  <r>
    <x v="1"/>
    <x v="0"/>
    <m/>
    <x v="28"/>
    <n v="207"/>
    <m/>
    <m/>
    <n v="27"/>
    <n v="158"/>
    <m/>
    <n v="1"/>
    <n v="21"/>
  </r>
  <r>
    <x v="1"/>
    <x v="0"/>
    <m/>
    <x v="29"/>
    <n v="187"/>
    <m/>
    <m/>
    <n v="37"/>
    <n v="125"/>
    <m/>
    <n v="1"/>
    <n v="24"/>
  </r>
  <r>
    <x v="1"/>
    <x v="0"/>
    <m/>
    <x v="30"/>
    <n v="72"/>
    <m/>
    <m/>
    <n v="14"/>
    <n v="44"/>
    <m/>
    <n v="0"/>
    <n v="14"/>
  </r>
  <r>
    <x v="1"/>
    <x v="0"/>
    <m/>
    <x v="31"/>
    <n v="544"/>
    <m/>
    <m/>
    <n v="116"/>
    <n v="362"/>
    <m/>
    <n v="1"/>
    <n v="65"/>
  </r>
  <r>
    <x v="1"/>
    <x v="0"/>
    <m/>
    <x v="32"/>
    <n v="288"/>
    <m/>
    <m/>
    <n v="54"/>
    <n v="209"/>
    <m/>
    <n v="0"/>
    <n v="25"/>
  </r>
  <r>
    <x v="1"/>
    <x v="1"/>
    <m/>
    <x v="0"/>
    <n v="270"/>
    <n v="18"/>
    <m/>
    <n v="4"/>
    <n v="14"/>
    <n v="65"/>
    <n v="79"/>
    <n v="90"/>
  </r>
  <r>
    <x v="1"/>
    <x v="1"/>
    <m/>
    <x v="20"/>
    <n v="18"/>
    <n v="1"/>
    <m/>
    <n v="0"/>
    <n v="0"/>
    <n v="3"/>
    <n v="7"/>
    <n v="7"/>
  </r>
  <r>
    <x v="1"/>
    <x v="1"/>
    <m/>
    <x v="33"/>
    <n v="18"/>
    <n v="1"/>
    <m/>
    <n v="0"/>
    <n v="2"/>
    <n v="1"/>
    <n v="4"/>
    <n v="10"/>
  </r>
  <r>
    <x v="1"/>
    <x v="1"/>
    <m/>
    <x v="34"/>
    <n v="21"/>
    <n v="1"/>
    <m/>
    <n v="0"/>
    <n v="1"/>
    <n v="7"/>
    <n v="5"/>
    <n v="7"/>
  </r>
  <r>
    <x v="1"/>
    <x v="1"/>
    <m/>
    <x v="2"/>
    <n v="18"/>
    <n v="0"/>
    <m/>
    <n v="0"/>
    <n v="1"/>
    <n v="2"/>
    <n v="5"/>
    <n v="10"/>
  </r>
  <r>
    <x v="1"/>
    <x v="1"/>
    <m/>
    <x v="35"/>
    <n v="20"/>
    <n v="1"/>
    <m/>
    <n v="0"/>
    <n v="0"/>
    <n v="7"/>
    <n v="7"/>
    <n v="5"/>
  </r>
  <r>
    <x v="1"/>
    <x v="1"/>
    <m/>
    <x v="36"/>
    <n v="17"/>
    <n v="1"/>
    <m/>
    <n v="0"/>
    <n v="4"/>
    <n v="5"/>
    <n v="1"/>
    <n v="6"/>
  </r>
  <r>
    <x v="1"/>
    <x v="1"/>
    <m/>
    <x v="37"/>
    <n v="12"/>
    <n v="1"/>
    <m/>
    <n v="0"/>
    <n v="0"/>
    <n v="3"/>
    <n v="5"/>
    <n v="3"/>
  </r>
  <r>
    <x v="1"/>
    <x v="1"/>
    <m/>
    <x v="38"/>
    <n v="24"/>
    <n v="2"/>
    <m/>
    <n v="2"/>
    <n v="2"/>
    <n v="8"/>
    <n v="4"/>
    <n v="6"/>
  </r>
  <r>
    <x v="1"/>
    <x v="1"/>
    <m/>
    <x v="39"/>
    <n v="13"/>
    <n v="1"/>
    <m/>
    <n v="0"/>
    <n v="1"/>
    <n v="3"/>
    <n v="3"/>
    <n v="5"/>
  </r>
  <r>
    <x v="1"/>
    <x v="1"/>
    <m/>
    <x v="31"/>
    <n v="25"/>
    <n v="1"/>
    <m/>
    <n v="1"/>
    <n v="2"/>
    <n v="4"/>
    <n v="8"/>
    <n v="9"/>
  </r>
  <r>
    <x v="1"/>
    <x v="1"/>
    <m/>
    <x v="40"/>
    <n v="13"/>
    <n v="1"/>
    <m/>
    <n v="0"/>
    <n v="0"/>
    <n v="6"/>
    <n v="5"/>
    <n v="1"/>
  </r>
  <r>
    <x v="1"/>
    <x v="1"/>
    <m/>
    <x v="29"/>
    <n v="16"/>
    <n v="2"/>
    <m/>
    <n v="1"/>
    <n v="1"/>
    <n v="3"/>
    <n v="5"/>
    <n v="4"/>
  </r>
  <r>
    <x v="1"/>
    <x v="1"/>
    <m/>
    <x v="18"/>
    <n v="10"/>
    <n v="1"/>
    <m/>
    <n v="0"/>
    <n v="0"/>
    <n v="4"/>
    <n v="2"/>
    <n v="3"/>
  </r>
  <r>
    <x v="1"/>
    <x v="1"/>
    <m/>
    <x v="41"/>
    <n v="5"/>
    <n v="0"/>
    <m/>
    <n v="0"/>
    <n v="0"/>
    <n v="1"/>
    <n v="4"/>
    <n v="0"/>
  </r>
  <r>
    <x v="1"/>
    <x v="1"/>
    <m/>
    <x v="42"/>
    <n v="7"/>
    <n v="1"/>
    <m/>
    <n v="0"/>
    <n v="0"/>
    <n v="3"/>
    <n v="3"/>
    <n v="0"/>
  </r>
  <r>
    <x v="1"/>
    <x v="1"/>
    <m/>
    <x v="43"/>
    <n v="12"/>
    <n v="1"/>
    <m/>
    <n v="0"/>
    <n v="0"/>
    <n v="3"/>
    <n v="5"/>
    <n v="3"/>
  </r>
  <r>
    <x v="1"/>
    <x v="1"/>
    <m/>
    <x v="32"/>
    <n v="21"/>
    <n v="2"/>
    <m/>
    <n v="0"/>
    <n v="0"/>
    <n v="2"/>
    <n v="6"/>
    <n v="11"/>
  </r>
  <r>
    <x v="1"/>
    <x v="2"/>
    <m/>
    <x v="0"/>
    <n v="249"/>
    <n v="4"/>
    <m/>
    <n v="34"/>
    <n v="7"/>
    <n v="26"/>
    <n v="31"/>
    <n v="147"/>
  </r>
  <r>
    <x v="1"/>
    <x v="2"/>
    <m/>
    <x v="44"/>
    <n v="105"/>
    <n v="2"/>
    <m/>
    <n v="9"/>
    <n v="0"/>
    <n v="15"/>
    <n v="4"/>
    <n v="75"/>
  </r>
  <r>
    <x v="1"/>
    <x v="2"/>
    <m/>
    <x v="45"/>
    <n v="78"/>
    <n v="1"/>
    <m/>
    <n v="4"/>
    <n v="6"/>
    <n v="4"/>
    <n v="17"/>
    <n v="46"/>
  </r>
  <r>
    <x v="1"/>
    <x v="2"/>
    <m/>
    <x v="46"/>
    <n v="66"/>
    <n v="1"/>
    <m/>
    <n v="21"/>
    <n v="1"/>
    <n v="7"/>
    <n v="10"/>
    <n v="26"/>
  </r>
  <r>
    <x v="1"/>
    <x v="3"/>
    <m/>
    <x v="47"/>
    <n v="52"/>
    <n v="11"/>
    <n v="7"/>
    <n v="4"/>
    <n v="1"/>
    <n v="12"/>
    <n v="6"/>
    <n v="11"/>
  </r>
  <r>
    <x v="1"/>
    <x v="4"/>
    <m/>
    <x v="47"/>
    <n v="3856"/>
    <n v="33"/>
    <n v="7"/>
    <n v="634"/>
    <n v="2285"/>
    <n v="103"/>
    <n v="130"/>
    <n v="664"/>
  </r>
  <r>
    <x v="2"/>
    <x v="0"/>
    <m/>
    <x v="0"/>
    <n v="3015.9047619047619"/>
    <n v="0"/>
    <n v="0"/>
    <n v="509.34523809523807"/>
    <n v="2199.9"/>
    <n v="0"/>
    <n v="2"/>
    <n v="304.65952380952382"/>
  </r>
  <r>
    <x v="2"/>
    <x v="0"/>
    <m/>
    <x v="1"/>
    <n v="26"/>
    <m/>
    <m/>
    <n v="5"/>
    <n v="17"/>
    <m/>
    <n v="0"/>
    <n v="4"/>
  </r>
  <r>
    <x v="2"/>
    <x v="0"/>
    <m/>
    <x v="2"/>
    <n v="65"/>
    <m/>
    <m/>
    <n v="14"/>
    <n v="48"/>
    <m/>
    <n v="0"/>
    <n v="3"/>
  </r>
  <r>
    <x v="2"/>
    <x v="0"/>
    <m/>
    <x v="3"/>
    <n v="53"/>
    <m/>
    <m/>
    <n v="7"/>
    <n v="41"/>
    <m/>
    <n v="0"/>
    <n v="5"/>
  </r>
  <r>
    <x v="2"/>
    <x v="0"/>
    <m/>
    <x v="4"/>
    <n v="27"/>
    <m/>
    <m/>
    <n v="4"/>
    <n v="19"/>
    <m/>
    <n v="0"/>
    <n v="4"/>
  </r>
  <r>
    <x v="2"/>
    <x v="0"/>
    <m/>
    <x v="5"/>
    <n v="53"/>
    <m/>
    <m/>
    <n v="10"/>
    <n v="34"/>
    <m/>
    <n v="0"/>
    <n v="9"/>
  </r>
  <r>
    <x v="2"/>
    <x v="0"/>
    <m/>
    <x v="6"/>
    <n v="95"/>
    <m/>
    <m/>
    <n v="17"/>
    <n v="66"/>
    <m/>
    <n v="0"/>
    <n v="12"/>
  </r>
  <r>
    <x v="2"/>
    <x v="0"/>
    <m/>
    <x v="7"/>
    <n v="277.07499999999999"/>
    <m/>
    <m/>
    <n v="47"/>
    <n v="210.07499999999999"/>
    <m/>
    <n v="0"/>
    <n v="20"/>
  </r>
  <r>
    <x v="2"/>
    <x v="0"/>
    <m/>
    <x v="8"/>
    <n v="70"/>
    <m/>
    <m/>
    <n v="12"/>
    <n v="48"/>
    <m/>
    <n v="1"/>
    <n v="9"/>
  </r>
  <r>
    <x v="2"/>
    <x v="0"/>
    <m/>
    <x v="9"/>
    <n v="23"/>
    <m/>
    <m/>
    <n v="4"/>
    <n v="16"/>
    <m/>
    <n v="0"/>
    <n v="3"/>
  </r>
  <r>
    <x v="2"/>
    <x v="0"/>
    <m/>
    <x v="10"/>
    <n v="31"/>
    <m/>
    <m/>
    <n v="5"/>
    <n v="21"/>
    <m/>
    <n v="0"/>
    <n v="5"/>
  </r>
  <r>
    <x v="2"/>
    <x v="0"/>
    <m/>
    <x v="11"/>
    <n v="0"/>
    <m/>
    <m/>
    <n v="0"/>
    <n v="0"/>
    <m/>
    <n v="0"/>
    <n v="0"/>
  </r>
  <r>
    <x v="2"/>
    <x v="0"/>
    <m/>
    <x v="12"/>
    <n v="75.095238095238102"/>
    <m/>
    <m/>
    <n v="13.095238095238095"/>
    <n v="50"/>
    <m/>
    <n v="0"/>
    <n v="12"/>
  </r>
  <r>
    <x v="2"/>
    <x v="0"/>
    <m/>
    <x v="13"/>
    <n v="0"/>
    <m/>
    <m/>
    <n v="0"/>
    <n v="0"/>
    <m/>
    <n v="0"/>
    <n v="0"/>
  </r>
  <r>
    <x v="2"/>
    <x v="0"/>
    <m/>
    <x v="14"/>
    <n v="72.75"/>
    <m/>
    <m/>
    <n v="13"/>
    <n v="55.75"/>
    <m/>
    <n v="0"/>
    <n v="4"/>
  </r>
  <r>
    <x v="2"/>
    <x v="0"/>
    <m/>
    <x v="15"/>
    <n v="69.075000000000003"/>
    <m/>
    <m/>
    <n v="12"/>
    <n v="48.075000000000003"/>
    <m/>
    <n v="0"/>
    <n v="9"/>
  </r>
  <r>
    <x v="2"/>
    <x v="0"/>
    <m/>
    <x v="16"/>
    <n v="0"/>
    <m/>
    <m/>
    <n v="0"/>
    <n v="0"/>
    <m/>
    <n v="0"/>
    <n v="0"/>
  </r>
  <r>
    <x v="2"/>
    <x v="0"/>
    <m/>
    <x v="17"/>
    <n v="55"/>
    <m/>
    <m/>
    <n v="10"/>
    <n v="40"/>
    <m/>
    <n v="0"/>
    <n v="5"/>
  </r>
  <r>
    <x v="2"/>
    <x v="0"/>
    <m/>
    <x v="18"/>
    <n v="178"/>
    <m/>
    <m/>
    <n v="28"/>
    <n v="132"/>
    <m/>
    <n v="0"/>
    <n v="18"/>
  </r>
  <r>
    <x v="2"/>
    <x v="0"/>
    <m/>
    <x v="19"/>
    <n v="51"/>
    <m/>
    <m/>
    <n v="9"/>
    <n v="40"/>
    <m/>
    <n v="0"/>
    <n v="2"/>
  </r>
  <r>
    <x v="2"/>
    <x v="0"/>
    <m/>
    <x v="20"/>
    <n v="142"/>
    <m/>
    <m/>
    <n v="22"/>
    <n v="107"/>
    <m/>
    <n v="0"/>
    <n v="13"/>
  </r>
  <r>
    <x v="2"/>
    <x v="0"/>
    <m/>
    <x v="21"/>
    <n v="32"/>
    <m/>
    <m/>
    <n v="6"/>
    <n v="22"/>
    <m/>
    <n v="0"/>
    <n v="4"/>
  </r>
  <r>
    <x v="2"/>
    <x v="0"/>
    <m/>
    <x v="22"/>
    <n v="55"/>
    <m/>
    <m/>
    <n v="8"/>
    <n v="37"/>
    <m/>
    <n v="0"/>
    <n v="10"/>
  </r>
  <r>
    <x v="2"/>
    <x v="0"/>
    <m/>
    <x v="23"/>
    <n v="315"/>
    <m/>
    <m/>
    <n v="48"/>
    <n v="248"/>
    <m/>
    <n v="0"/>
    <n v="19"/>
  </r>
  <r>
    <x v="2"/>
    <x v="0"/>
    <m/>
    <x v="24"/>
    <n v="92"/>
    <m/>
    <m/>
    <n v="15"/>
    <n v="62"/>
    <m/>
    <n v="0"/>
    <n v="15"/>
  </r>
  <r>
    <x v="2"/>
    <x v="0"/>
    <m/>
    <x v="25"/>
    <n v="70"/>
    <m/>
    <m/>
    <n v="11"/>
    <n v="49"/>
    <m/>
    <n v="0"/>
    <n v="10"/>
  </r>
  <r>
    <x v="2"/>
    <x v="0"/>
    <m/>
    <x v="26"/>
    <n v="61"/>
    <m/>
    <m/>
    <n v="9"/>
    <n v="44"/>
    <m/>
    <n v="0"/>
    <n v="8"/>
  </r>
  <r>
    <x v="2"/>
    <x v="0"/>
    <m/>
    <x v="27"/>
    <n v="36"/>
    <m/>
    <m/>
    <n v="8"/>
    <n v="25"/>
    <m/>
    <n v="0"/>
    <n v="3"/>
  </r>
  <r>
    <x v="2"/>
    <x v="0"/>
    <m/>
    <x v="28"/>
    <n v="176"/>
    <m/>
    <m/>
    <n v="26"/>
    <n v="135"/>
    <m/>
    <n v="1"/>
    <n v="14"/>
  </r>
  <r>
    <x v="2"/>
    <x v="0"/>
    <m/>
    <x v="29"/>
    <n v="179.75"/>
    <m/>
    <m/>
    <n v="27.75"/>
    <n v="136"/>
    <m/>
    <n v="0"/>
    <n v="16"/>
  </r>
  <r>
    <x v="2"/>
    <x v="0"/>
    <m/>
    <x v="30"/>
    <n v="70"/>
    <m/>
    <m/>
    <n v="9"/>
    <n v="46"/>
    <m/>
    <n v="0"/>
    <n v="15"/>
  </r>
  <r>
    <x v="2"/>
    <x v="0"/>
    <m/>
    <x v="31"/>
    <n v="68"/>
    <m/>
    <m/>
    <n v="11"/>
    <n v="53"/>
    <m/>
    <n v="0"/>
    <n v="4"/>
  </r>
  <r>
    <x v="2"/>
    <x v="0"/>
    <m/>
    <x v="32"/>
    <n v="498.15952380952382"/>
    <m/>
    <m/>
    <n v="98.5"/>
    <n v="350"/>
    <m/>
    <n v="0"/>
    <n v="49.659523809523812"/>
  </r>
  <r>
    <x v="2"/>
    <x v="1"/>
    <m/>
    <x v="0"/>
    <n v="393.54523809523812"/>
    <n v="14"/>
    <n v="0"/>
    <n v="50"/>
    <n v="34.885714285714286"/>
    <n v="62"/>
    <n v="91"/>
    <n v="141.65952380952382"/>
  </r>
  <r>
    <x v="2"/>
    <x v="1"/>
    <m/>
    <x v="20"/>
    <n v="16"/>
    <n v="1"/>
    <m/>
    <n v="0"/>
    <n v="3"/>
    <n v="3"/>
    <n v="2"/>
    <n v="7"/>
  </r>
  <r>
    <x v="2"/>
    <x v="1"/>
    <m/>
    <x v="33"/>
    <n v="27"/>
    <n v="1"/>
    <m/>
    <n v="7"/>
    <n v="1"/>
    <n v="2"/>
    <n v="6"/>
    <n v="10"/>
  </r>
  <r>
    <x v="2"/>
    <x v="1"/>
    <m/>
    <x v="34"/>
    <n v="25"/>
    <n v="1"/>
    <m/>
    <n v="2"/>
    <n v="4"/>
    <n v="5"/>
    <n v="7"/>
    <n v="6"/>
  </r>
  <r>
    <x v="2"/>
    <x v="1"/>
    <m/>
    <x v="2"/>
    <n v="19"/>
    <n v="0"/>
    <m/>
    <n v="0"/>
    <n v="2"/>
    <n v="2"/>
    <n v="5"/>
    <n v="10"/>
  </r>
  <r>
    <x v="2"/>
    <x v="1"/>
    <m/>
    <x v="35"/>
    <n v="28.885714285714286"/>
    <n v="1"/>
    <m/>
    <n v="4"/>
    <n v="1.8857142857142857"/>
    <n v="6"/>
    <n v="7"/>
    <n v="9"/>
  </r>
  <r>
    <x v="2"/>
    <x v="1"/>
    <m/>
    <x v="36"/>
    <n v="38"/>
    <n v="1"/>
    <m/>
    <n v="10"/>
    <n v="5"/>
    <n v="5"/>
    <n v="6"/>
    <n v="11"/>
  </r>
  <r>
    <x v="2"/>
    <x v="1"/>
    <m/>
    <x v="37"/>
    <n v="17"/>
    <n v="1"/>
    <m/>
    <n v="1"/>
    <n v="3"/>
    <n v="2"/>
    <n v="3"/>
    <n v="7"/>
  </r>
  <r>
    <x v="2"/>
    <x v="1"/>
    <m/>
    <x v="38"/>
    <n v="27"/>
    <n v="0"/>
    <m/>
    <n v="5"/>
    <n v="4"/>
    <n v="7"/>
    <n v="2"/>
    <n v="9"/>
  </r>
  <r>
    <x v="2"/>
    <x v="1"/>
    <m/>
    <x v="39"/>
    <n v="25"/>
    <n v="1"/>
    <m/>
    <n v="1"/>
    <n v="2"/>
    <n v="2"/>
    <n v="3"/>
    <n v="16"/>
  </r>
  <r>
    <x v="2"/>
    <x v="1"/>
    <m/>
    <x v="31"/>
    <n v="31.659523809523812"/>
    <n v="1"/>
    <m/>
    <n v="1"/>
    <n v="2"/>
    <n v="5"/>
    <n v="8"/>
    <n v="14.65952380952381"/>
  </r>
  <r>
    <x v="2"/>
    <x v="1"/>
    <m/>
    <x v="40"/>
    <n v="29"/>
    <n v="1"/>
    <m/>
    <n v="7"/>
    <n v="0"/>
    <n v="6"/>
    <n v="8"/>
    <n v="7"/>
  </r>
  <r>
    <x v="2"/>
    <x v="1"/>
    <m/>
    <x v="29"/>
    <n v="20"/>
    <n v="1"/>
    <m/>
    <n v="3"/>
    <n v="0"/>
    <n v="3"/>
    <n v="4"/>
    <n v="9"/>
  </r>
  <r>
    <x v="2"/>
    <x v="1"/>
    <m/>
    <x v="18"/>
    <n v="16"/>
    <n v="1"/>
    <m/>
    <n v="3"/>
    <n v="1"/>
    <n v="3"/>
    <n v="5"/>
    <n v="3"/>
  </r>
  <r>
    <x v="2"/>
    <x v="1"/>
    <m/>
    <x v="41"/>
    <n v="13"/>
    <n v="0"/>
    <m/>
    <n v="2"/>
    <n v="1"/>
    <n v="2"/>
    <n v="5"/>
    <n v="3"/>
  </r>
  <r>
    <x v="2"/>
    <x v="1"/>
    <m/>
    <x v="42"/>
    <n v="11"/>
    <n v="1"/>
    <m/>
    <n v="1"/>
    <n v="0"/>
    <n v="3"/>
    <n v="5"/>
    <n v="1"/>
  </r>
  <r>
    <x v="2"/>
    <x v="1"/>
    <m/>
    <x v="43"/>
    <n v="24"/>
    <n v="1"/>
    <m/>
    <n v="0"/>
    <n v="1"/>
    <n v="4"/>
    <n v="10"/>
    <n v="8"/>
  </r>
  <r>
    <x v="2"/>
    <x v="1"/>
    <m/>
    <x v="32"/>
    <n v="26"/>
    <n v="1"/>
    <m/>
    <n v="3"/>
    <n v="4"/>
    <n v="2"/>
    <n v="5"/>
    <n v="11"/>
  </r>
  <r>
    <x v="2"/>
    <x v="2"/>
    <m/>
    <x v="44"/>
    <n v="16"/>
    <n v="1"/>
    <m/>
    <n v="3"/>
    <n v="0"/>
    <n v="5"/>
    <n v="3"/>
    <n v="4"/>
  </r>
  <r>
    <x v="2"/>
    <x v="2"/>
    <m/>
    <x v="45"/>
    <n v="25"/>
    <n v="1"/>
    <m/>
    <n v="2"/>
    <n v="0"/>
    <n v="2"/>
    <n v="3"/>
    <n v="17"/>
  </r>
  <r>
    <x v="2"/>
    <x v="2"/>
    <m/>
    <x v="46"/>
    <n v="44"/>
    <n v="1"/>
    <m/>
    <n v="8"/>
    <n v="0"/>
    <n v="2"/>
    <n v="8"/>
    <n v="25"/>
  </r>
  <r>
    <x v="2"/>
    <x v="3"/>
    <m/>
    <x v="47"/>
    <n v="195"/>
    <n v="18"/>
    <n v="10"/>
    <n v="26"/>
    <n v="16"/>
    <n v="19"/>
    <n v="19"/>
    <n v="93"/>
  </r>
  <r>
    <x v="2"/>
    <x v="5"/>
    <m/>
    <x v="0"/>
    <n v="85"/>
    <n v="3"/>
    <n v="0"/>
    <n v="13"/>
    <n v="0"/>
    <n v="9"/>
    <n v="14"/>
    <n v="46"/>
  </r>
  <r>
    <x v="2"/>
    <x v="4"/>
    <m/>
    <x v="47"/>
    <n v="3690"/>
    <n v="35"/>
    <n v="4"/>
    <n v="598.34523809523807"/>
    <n v="2250.7857142857142"/>
    <n v="90"/>
    <n v="126"/>
    <n v="585.31904761904764"/>
  </r>
  <r>
    <x v="3"/>
    <x v="0"/>
    <m/>
    <x v="0"/>
    <n v="2923"/>
    <n v="0"/>
    <n v="0"/>
    <n v="552"/>
    <n v="2027"/>
    <n v="0"/>
    <n v="1"/>
    <n v="343"/>
  </r>
  <r>
    <x v="3"/>
    <x v="0"/>
    <m/>
    <x v="1"/>
    <n v="22"/>
    <n v="0"/>
    <n v="0"/>
    <n v="4"/>
    <n v="14"/>
    <n v="0"/>
    <n v="0"/>
    <n v="4"/>
  </r>
  <r>
    <x v="3"/>
    <x v="0"/>
    <m/>
    <x v="2"/>
    <n v="63"/>
    <n v="0"/>
    <n v="0"/>
    <n v="11"/>
    <n v="48"/>
    <n v="0"/>
    <n v="0"/>
    <n v="4"/>
  </r>
  <r>
    <x v="3"/>
    <x v="0"/>
    <m/>
    <x v="3"/>
    <n v="46"/>
    <n v="0"/>
    <n v="0"/>
    <n v="9"/>
    <n v="32"/>
    <n v="0"/>
    <n v="0"/>
    <n v="5"/>
  </r>
  <r>
    <x v="3"/>
    <x v="0"/>
    <m/>
    <x v="4"/>
    <n v="27"/>
    <n v="0"/>
    <n v="0"/>
    <n v="4"/>
    <n v="19"/>
    <n v="0"/>
    <n v="0"/>
    <n v="4"/>
  </r>
  <r>
    <x v="3"/>
    <x v="0"/>
    <m/>
    <x v="5"/>
    <n v="50"/>
    <n v="0"/>
    <n v="0"/>
    <n v="10"/>
    <n v="30"/>
    <n v="0"/>
    <n v="0"/>
    <n v="10"/>
  </r>
  <r>
    <x v="3"/>
    <x v="0"/>
    <m/>
    <x v="6"/>
    <n v="0"/>
    <n v="0"/>
    <n v="0"/>
    <n v="0"/>
    <n v="0"/>
    <n v="0"/>
    <n v="0"/>
    <n v="0"/>
  </r>
  <r>
    <x v="3"/>
    <x v="0"/>
    <m/>
    <x v="7"/>
    <n v="86"/>
    <n v="0"/>
    <n v="0"/>
    <n v="16"/>
    <n v="57"/>
    <n v="0"/>
    <n v="0"/>
    <n v="13"/>
  </r>
  <r>
    <x v="3"/>
    <x v="0"/>
    <m/>
    <x v="8"/>
    <n v="67"/>
    <n v="0"/>
    <n v="0"/>
    <n v="11"/>
    <n v="52"/>
    <n v="0"/>
    <n v="0"/>
    <n v="4"/>
  </r>
  <r>
    <x v="3"/>
    <x v="0"/>
    <m/>
    <x v="9"/>
    <n v="68"/>
    <n v="0"/>
    <n v="0"/>
    <n v="13"/>
    <n v="43"/>
    <n v="0"/>
    <n v="1"/>
    <n v="11"/>
  </r>
  <r>
    <x v="3"/>
    <x v="0"/>
    <m/>
    <x v="10"/>
    <n v="22"/>
    <n v="0"/>
    <n v="0"/>
    <n v="4"/>
    <n v="14"/>
    <n v="0"/>
    <n v="0"/>
    <n v="4"/>
  </r>
  <r>
    <x v="3"/>
    <x v="0"/>
    <m/>
    <x v="11"/>
    <n v="27"/>
    <n v="0"/>
    <n v="0"/>
    <n v="4"/>
    <n v="19"/>
    <n v="0"/>
    <n v="0"/>
    <n v="4"/>
  </r>
  <r>
    <x v="3"/>
    <x v="0"/>
    <m/>
    <x v="12"/>
    <n v="78"/>
    <n v="0"/>
    <n v="0"/>
    <n v="17"/>
    <n v="46"/>
    <n v="0"/>
    <n v="0"/>
    <n v="15"/>
  </r>
  <r>
    <x v="3"/>
    <x v="0"/>
    <m/>
    <x v="13"/>
    <n v="0"/>
    <n v="0"/>
    <n v="0"/>
    <n v="0"/>
    <n v="0"/>
    <n v="0"/>
    <n v="0"/>
    <n v="0"/>
  </r>
  <r>
    <x v="3"/>
    <x v="0"/>
    <m/>
    <x v="14"/>
    <n v="68"/>
    <n v="0"/>
    <n v="0"/>
    <n v="12"/>
    <n v="52"/>
    <n v="0"/>
    <n v="0"/>
    <n v="4"/>
  </r>
  <r>
    <x v="3"/>
    <x v="0"/>
    <m/>
    <x v="15"/>
    <n v="56"/>
    <n v="0"/>
    <n v="0"/>
    <n v="8"/>
    <n v="40"/>
    <n v="0"/>
    <n v="0"/>
    <n v="8"/>
  </r>
  <r>
    <x v="3"/>
    <x v="0"/>
    <m/>
    <x v="16"/>
    <n v="0"/>
    <n v="0"/>
    <n v="0"/>
    <n v="0"/>
    <n v="0"/>
    <n v="0"/>
    <n v="0"/>
    <n v="0"/>
  </r>
  <r>
    <x v="3"/>
    <x v="0"/>
    <m/>
    <x v="17"/>
    <n v="54"/>
    <n v="0"/>
    <n v="0"/>
    <n v="10"/>
    <n v="39"/>
    <n v="0"/>
    <n v="0"/>
    <n v="5"/>
  </r>
  <r>
    <x v="3"/>
    <x v="0"/>
    <m/>
    <x v="18"/>
    <n v="171"/>
    <n v="0"/>
    <n v="0"/>
    <n v="34"/>
    <n v="117"/>
    <n v="0"/>
    <n v="0"/>
    <n v="20"/>
  </r>
  <r>
    <x v="3"/>
    <x v="0"/>
    <m/>
    <x v="19"/>
    <n v="53"/>
    <n v="0"/>
    <n v="0"/>
    <n v="9"/>
    <n v="40"/>
    <n v="0"/>
    <n v="0"/>
    <n v="4"/>
  </r>
  <r>
    <x v="3"/>
    <x v="0"/>
    <m/>
    <x v="20"/>
    <n v="155"/>
    <n v="0"/>
    <n v="0"/>
    <n v="26"/>
    <n v="113"/>
    <n v="0"/>
    <n v="0"/>
    <n v="16"/>
  </r>
  <r>
    <x v="3"/>
    <x v="0"/>
    <m/>
    <x v="21"/>
    <n v="25"/>
    <n v="0"/>
    <n v="0"/>
    <n v="4"/>
    <n v="17"/>
    <n v="0"/>
    <n v="0"/>
    <n v="4"/>
  </r>
  <r>
    <x v="3"/>
    <x v="0"/>
    <m/>
    <x v="22"/>
    <n v="43"/>
    <n v="0"/>
    <n v="0"/>
    <n v="9"/>
    <n v="24"/>
    <n v="0"/>
    <n v="0"/>
    <n v="10"/>
  </r>
  <r>
    <x v="3"/>
    <x v="0"/>
    <m/>
    <x v="23"/>
    <n v="313"/>
    <n v="0"/>
    <n v="0"/>
    <n v="60"/>
    <n v="227"/>
    <n v="0"/>
    <n v="0"/>
    <n v="26"/>
  </r>
  <r>
    <x v="3"/>
    <x v="0"/>
    <m/>
    <x v="24"/>
    <n v="97"/>
    <n v="0"/>
    <n v="0"/>
    <n v="21"/>
    <n v="60"/>
    <n v="0"/>
    <n v="0"/>
    <n v="16"/>
  </r>
  <r>
    <x v="3"/>
    <x v="0"/>
    <m/>
    <x v="25"/>
    <n v="69"/>
    <n v="0"/>
    <n v="0"/>
    <n v="15"/>
    <n v="44"/>
    <n v="0"/>
    <n v="0"/>
    <n v="10"/>
  </r>
  <r>
    <x v="3"/>
    <x v="0"/>
    <m/>
    <x v="26"/>
    <n v="60"/>
    <n v="0"/>
    <n v="0"/>
    <n v="10"/>
    <n v="42"/>
    <n v="0"/>
    <n v="0"/>
    <n v="8"/>
  </r>
  <r>
    <x v="3"/>
    <x v="0"/>
    <m/>
    <x v="27"/>
    <n v="25"/>
    <n v="0"/>
    <n v="0"/>
    <n v="4"/>
    <n v="18"/>
    <n v="0"/>
    <n v="0"/>
    <n v="3"/>
  </r>
  <r>
    <x v="3"/>
    <x v="0"/>
    <m/>
    <x v="28"/>
    <n v="192"/>
    <n v="0"/>
    <n v="0"/>
    <n v="30"/>
    <n v="144"/>
    <n v="0"/>
    <n v="0"/>
    <n v="18"/>
  </r>
  <r>
    <x v="3"/>
    <x v="0"/>
    <m/>
    <x v="29"/>
    <n v="173"/>
    <n v="0"/>
    <n v="0"/>
    <n v="30"/>
    <n v="123"/>
    <n v="0"/>
    <n v="0"/>
    <n v="20"/>
  </r>
  <r>
    <x v="3"/>
    <x v="0"/>
    <m/>
    <x v="30"/>
    <n v="68"/>
    <n v="0"/>
    <n v="0"/>
    <n v="14"/>
    <n v="39"/>
    <n v="0"/>
    <n v="0"/>
    <n v="15"/>
  </r>
  <r>
    <x v="3"/>
    <x v="0"/>
    <m/>
    <x v="31"/>
    <n v="475"/>
    <n v="0"/>
    <n v="0"/>
    <n v="105"/>
    <n v="313"/>
    <n v="0"/>
    <n v="0"/>
    <n v="57"/>
  </r>
  <r>
    <x v="3"/>
    <x v="0"/>
    <m/>
    <x v="32"/>
    <n v="270"/>
    <n v="0"/>
    <n v="0"/>
    <n v="48"/>
    <n v="201"/>
    <n v="0"/>
    <n v="0"/>
    <n v="21"/>
  </r>
  <r>
    <x v="3"/>
    <x v="1"/>
    <m/>
    <x v="0"/>
    <n v="386"/>
    <n v="16"/>
    <n v="0"/>
    <n v="61"/>
    <n v="27"/>
    <n v="47"/>
    <n v="116"/>
    <n v="119"/>
  </r>
  <r>
    <x v="3"/>
    <x v="1"/>
    <m/>
    <x v="20"/>
    <n v="14"/>
    <n v="1"/>
    <n v="0"/>
    <n v="2"/>
    <n v="2"/>
    <n v="1"/>
    <n v="3"/>
    <n v="5"/>
  </r>
  <r>
    <x v="3"/>
    <x v="1"/>
    <m/>
    <x v="33"/>
    <n v="25"/>
    <n v="1"/>
    <n v="0"/>
    <n v="5"/>
    <n v="0"/>
    <n v="2"/>
    <n v="8"/>
    <n v="9"/>
  </r>
  <r>
    <x v="3"/>
    <x v="1"/>
    <m/>
    <x v="34"/>
    <n v="26"/>
    <n v="1"/>
    <n v="0"/>
    <n v="4"/>
    <n v="2"/>
    <n v="3"/>
    <n v="9"/>
    <n v="7"/>
  </r>
  <r>
    <x v="3"/>
    <x v="1"/>
    <m/>
    <x v="2"/>
    <n v="21"/>
    <n v="1"/>
    <n v="0"/>
    <n v="3"/>
    <n v="0"/>
    <n v="2"/>
    <n v="6"/>
    <n v="9"/>
  </r>
  <r>
    <x v="3"/>
    <x v="1"/>
    <m/>
    <x v="35"/>
    <n v="29"/>
    <n v="1"/>
    <n v="0"/>
    <n v="5"/>
    <n v="1"/>
    <n v="4"/>
    <n v="9"/>
    <n v="9"/>
  </r>
  <r>
    <x v="3"/>
    <x v="1"/>
    <m/>
    <x v="36"/>
    <n v="31"/>
    <n v="1"/>
    <n v="0"/>
    <n v="5"/>
    <n v="5"/>
    <n v="4"/>
    <n v="8"/>
    <n v="8"/>
  </r>
  <r>
    <x v="3"/>
    <x v="1"/>
    <m/>
    <x v="37"/>
    <n v="18"/>
    <n v="1"/>
    <n v="0"/>
    <n v="2"/>
    <n v="1"/>
    <n v="3"/>
    <n v="4"/>
    <n v="7"/>
  </r>
  <r>
    <x v="3"/>
    <x v="1"/>
    <m/>
    <x v="38"/>
    <n v="27"/>
    <n v="1"/>
    <n v="0"/>
    <n v="2"/>
    <n v="4"/>
    <n v="3"/>
    <n v="6"/>
    <n v="11"/>
  </r>
  <r>
    <x v="3"/>
    <x v="1"/>
    <m/>
    <x v="39"/>
    <n v="21"/>
    <n v="1"/>
    <n v="0"/>
    <n v="3"/>
    <n v="2"/>
    <n v="2"/>
    <n v="6"/>
    <n v="7"/>
  </r>
  <r>
    <x v="3"/>
    <x v="1"/>
    <m/>
    <x v="31"/>
    <n v="25"/>
    <n v="1"/>
    <n v="0"/>
    <n v="3"/>
    <n v="2"/>
    <n v="4"/>
    <n v="9"/>
    <n v="6"/>
  </r>
  <r>
    <x v="3"/>
    <x v="1"/>
    <m/>
    <x v="40"/>
    <n v="36"/>
    <n v="1"/>
    <n v="0"/>
    <n v="10"/>
    <n v="0"/>
    <n v="4"/>
    <n v="13"/>
    <n v="8"/>
  </r>
  <r>
    <x v="3"/>
    <x v="1"/>
    <m/>
    <x v="29"/>
    <n v="15"/>
    <n v="1"/>
    <n v="0"/>
    <n v="1"/>
    <n v="1"/>
    <n v="2"/>
    <n v="5"/>
    <n v="5"/>
  </r>
  <r>
    <x v="3"/>
    <x v="1"/>
    <m/>
    <x v="18"/>
    <n v="15"/>
    <n v="1"/>
    <n v="0"/>
    <n v="2"/>
    <n v="1"/>
    <n v="2"/>
    <n v="5"/>
    <n v="4"/>
  </r>
  <r>
    <x v="3"/>
    <x v="1"/>
    <m/>
    <x v="41"/>
    <n v="15"/>
    <n v="0"/>
    <n v="0"/>
    <n v="3"/>
    <n v="1"/>
    <n v="2"/>
    <n v="4"/>
    <n v="5"/>
  </r>
  <r>
    <x v="3"/>
    <x v="1"/>
    <m/>
    <x v="42"/>
    <n v="16"/>
    <n v="1"/>
    <n v="0"/>
    <n v="6"/>
    <n v="0"/>
    <n v="3"/>
    <n v="5"/>
    <n v="1"/>
  </r>
  <r>
    <x v="3"/>
    <x v="1"/>
    <m/>
    <x v="43"/>
    <n v="28"/>
    <n v="1"/>
    <n v="0"/>
    <n v="2"/>
    <n v="2"/>
    <n v="4"/>
    <n v="9"/>
    <n v="10"/>
  </r>
  <r>
    <x v="3"/>
    <x v="1"/>
    <m/>
    <x v="32"/>
    <n v="24"/>
    <n v="1"/>
    <n v="0"/>
    <n v="3"/>
    <n v="3"/>
    <n v="2"/>
    <n v="7"/>
    <n v="8"/>
  </r>
  <r>
    <x v="3"/>
    <x v="2"/>
    <m/>
    <x v="0"/>
    <m/>
    <m/>
    <m/>
    <m/>
    <m/>
    <m/>
    <m/>
    <m/>
  </r>
  <r>
    <x v="3"/>
    <x v="2"/>
    <m/>
    <x v="44"/>
    <n v="68"/>
    <n v="1"/>
    <n v="0"/>
    <n v="10"/>
    <n v="1"/>
    <n v="3"/>
    <n v="11"/>
    <n v="42"/>
  </r>
  <r>
    <x v="3"/>
    <x v="2"/>
    <m/>
    <x v="45"/>
    <n v="38"/>
    <n v="1"/>
    <n v="0"/>
    <n v="6"/>
    <n v="1"/>
    <n v="5"/>
    <n v="5"/>
    <n v="20"/>
  </r>
  <r>
    <x v="3"/>
    <x v="2"/>
    <m/>
    <x v="46"/>
    <n v="45"/>
    <n v="1"/>
    <n v="0"/>
    <n v="6"/>
    <n v="1"/>
    <n v="4"/>
    <n v="9"/>
    <n v="24"/>
  </r>
  <r>
    <x v="3"/>
    <x v="3"/>
    <m/>
    <x v="47"/>
    <n v="182"/>
    <n v="15"/>
    <n v="4"/>
    <n v="0"/>
    <n v="101"/>
    <n v="11"/>
    <n v="9"/>
    <n v="42"/>
  </r>
  <r>
    <x v="3"/>
    <x v="4"/>
    <m/>
    <x v="47"/>
    <n v="3644"/>
    <n v="34"/>
    <n v="4"/>
    <n v="635"/>
    <n v="2158"/>
    <n v="70"/>
    <n v="151"/>
    <n v="590"/>
  </r>
  <r>
    <x v="4"/>
    <x v="0"/>
    <m/>
    <x v="0"/>
    <n v="2868"/>
    <m/>
    <m/>
    <n v="588"/>
    <n v="1905"/>
    <m/>
    <m/>
    <n v="375"/>
  </r>
  <r>
    <x v="4"/>
    <x v="0"/>
    <m/>
    <x v="1"/>
    <n v="25"/>
    <m/>
    <m/>
    <n v="5"/>
    <n v="15"/>
    <m/>
    <m/>
    <n v="5"/>
  </r>
  <r>
    <x v="4"/>
    <x v="0"/>
    <m/>
    <x v="2"/>
    <n v="54"/>
    <m/>
    <m/>
    <n v="11"/>
    <n v="38"/>
    <m/>
    <m/>
    <n v="5"/>
  </r>
  <r>
    <x v="4"/>
    <x v="0"/>
    <m/>
    <x v="3"/>
    <n v="49"/>
    <m/>
    <m/>
    <n v="10"/>
    <n v="34"/>
    <m/>
    <m/>
    <n v="5"/>
  </r>
  <r>
    <x v="4"/>
    <x v="0"/>
    <m/>
    <x v="4"/>
    <n v="23"/>
    <m/>
    <m/>
    <n v="5"/>
    <n v="13"/>
    <m/>
    <m/>
    <n v="5"/>
  </r>
  <r>
    <x v="4"/>
    <x v="0"/>
    <m/>
    <x v="5"/>
    <n v="51"/>
    <m/>
    <m/>
    <n v="10"/>
    <n v="30"/>
    <m/>
    <m/>
    <n v="11"/>
  </r>
  <r>
    <x v="4"/>
    <x v="0"/>
    <m/>
    <x v="7"/>
    <n v="87"/>
    <m/>
    <m/>
    <n v="22"/>
    <n v="49"/>
    <m/>
    <m/>
    <n v="16"/>
  </r>
  <r>
    <x v="4"/>
    <x v="0"/>
    <m/>
    <x v="8"/>
    <n v="68"/>
    <m/>
    <m/>
    <n v="15"/>
    <n v="49"/>
    <m/>
    <m/>
    <n v="4"/>
  </r>
  <r>
    <x v="4"/>
    <x v="0"/>
    <m/>
    <x v="9"/>
    <n v="72"/>
    <m/>
    <m/>
    <n v="15"/>
    <n v="44"/>
    <m/>
    <m/>
    <n v="13"/>
  </r>
  <r>
    <x v="4"/>
    <x v="0"/>
    <m/>
    <x v="10"/>
    <n v="28"/>
    <m/>
    <m/>
    <n v="5"/>
    <n v="18"/>
    <m/>
    <m/>
    <n v="5"/>
  </r>
  <r>
    <x v="4"/>
    <x v="0"/>
    <m/>
    <x v="11"/>
    <n v="29"/>
    <m/>
    <m/>
    <n v="5"/>
    <n v="19"/>
    <m/>
    <m/>
    <n v="5"/>
  </r>
  <r>
    <x v="4"/>
    <x v="0"/>
    <m/>
    <x v="12"/>
    <n v="76"/>
    <m/>
    <m/>
    <n v="16"/>
    <n v="45"/>
    <m/>
    <m/>
    <n v="15"/>
  </r>
  <r>
    <x v="4"/>
    <x v="0"/>
    <m/>
    <x v="14"/>
    <n v="69"/>
    <m/>
    <m/>
    <n v="10"/>
    <n v="54"/>
    <m/>
    <m/>
    <n v="5"/>
  </r>
  <r>
    <x v="4"/>
    <x v="0"/>
    <m/>
    <x v="15"/>
    <n v="51"/>
    <m/>
    <m/>
    <n v="9"/>
    <n v="32"/>
    <m/>
    <m/>
    <n v="10"/>
  </r>
  <r>
    <x v="4"/>
    <x v="0"/>
    <m/>
    <x v="17"/>
    <n v="50"/>
    <m/>
    <m/>
    <n v="10"/>
    <n v="35"/>
    <m/>
    <m/>
    <n v="5"/>
  </r>
  <r>
    <x v="4"/>
    <x v="0"/>
    <m/>
    <x v="18"/>
    <n v="166"/>
    <m/>
    <m/>
    <n v="35"/>
    <n v="111"/>
    <m/>
    <m/>
    <n v="20"/>
  </r>
  <r>
    <x v="4"/>
    <x v="0"/>
    <m/>
    <x v="19"/>
    <n v="48"/>
    <m/>
    <m/>
    <n v="9"/>
    <n v="34"/>
    <m/>
    <m/>
    <n v="5"/>
  </r>
  <r>
    <x v="4"/>
    <x v="0"/>
    <m/>
    <x v="20"/>
    <n v="145"/>
    <m/>
    <m/>
    <n v="33"/>
    <n v="97"/>
    <m/>
    <m/>
    <n v="15"/>
  </r>
  <r>
    <x v="4"/>
    <x v="0"/>
    <m/>
    <x v="21"/>
    <n v="24"/>
    <m/>
    <m/>
    <n v="5"/>
    <n v="14"/>
    <m/>
    <m/>
    <n v="5"/>
  </r>
  <r>
    <x v="4"/>
    <x v="0"/>
    <m/>
    <x v="22"/>
    <n v="50"/>
    <m/>
    <m/>
    <n v="10"/>
    <n v="30"/>
    <m/>
    <m/>
    <n v="10"/>
  </r>
  <r>
    <x v="4"/>
    <x v="0"/>
    <m/>
    <x v="23"/>
    <n v="293"/>
    <m/>
    <m/>
    <n v="54"/>
    <n v="204"/>
    <m/>
    <m/>
    <n v="35"/>
  </r>
  <r>
    <x v="4"/>
    <x v="0"/>
    <m/>
    <x v="24"/>
    <n v="94"/>
    <m/>
    <m/>
    <n v="20"/>
    <n v="59"/>
    <m/>
    <m/>
    <n v="15"/>
  </r>
  <r>
    <x v="4"/>
    <x v="0"/>
    <m/>
    <x v="25"/>
    <n v="68"/>
    <m/>
    <m/>
    <n v="15"/>
    <n v="43"/>
    <m/>
    <m/>
    <n v="10"/>
  </r>
  <r>
    <x v="4"/>
    <x v="0"/>
    <m/>
    <x v="26"/>
    <n v="58"/>
    <m/>
    <m/>
    <n v="11"/>
    <n v="37"/>
    <m/>
    <m/>
    <n v="10"/>
  </r>
  <r>
    <x v="4"/>
    <x v="0"/>
    <m/>
    <x v="27"/>
    <n v="28"/>
    <m/>
    <m/>
    <n v="5"/>
    <n v="18"/>
    <m/>
    <m/>
    <n v="5"/>
  </r>
  <r>
    <x v="4"/>
    <x v="0"/>
    <m/>
    <x v="28"/>
    <n v="178"/>
    <m/>
    <m/>
    <n v="35"/>
    <n v="122"/>
    <m/>
    <m/>
    <n v="21"/>
  </r>
  <r>
    <x v="4"/>
    <x v="0"/>
    <m/>
    <x v="29"/>
    <n v="163"/>
    <m/>
    <m/>
    <n v="31"/>
    <n v="113"/>
    <m/>
    <m/>
    <n v="19"/>
  </r>
  <r>
    <x v="4"/>
    <x v="0"/>
    <m/>
    <x v="30"/>
    <n v="78"/>
    <m/>
    <m/>
    <n v="15"/>
    <n v="48"/>
    <m/>
    <m/>
    <n v="15"/>
  </r>
  <r>
    <x v="4"/>
    <x v="0"/>
    <m/>
    <x v="31"/>
    <n v="489"/>
    <m/>
    <m/>
    <n v="113"/>
    <n v="319"/>
    <m/>
    <m/>
    <n v="57"/>
  </r>
  <r>
    <x v="4"/>
    <x v="0"/>
    <m/>
    <x v="32"/>
    <n v="254"/>
    <m/>
    <m/>
    <n v="49"/>
    <n v="181"/>
    <m/>
    <m/>
    <n v="24"/>
  </r>
  <r>
    <x v="4"/>
    <x v="1"/>
    <m/>
    <x v="0"/>
    <n v="377"/>
    <n v="16"/>
    <m/>
    <n v="63"/>
    <n v="28"/>
    <n v="46"/>
    <n v="115"/>
    <n v="109"/>
  </r>
  <r>
    <x v="4"/>
    <x v="1"/>
    <m/>
    <x v="20"/>
    <n v="15"/>
    <n v="1"/>
    <m/>
    <n v="2"/>
    <n v="2"/>
    <n v="2"/>
    <n v="3"/>
    <n v="5"/>
  </r>
  <r>
    <x v="4"/>
    <x v="1"/>
    <m/>
    <x v="33"/>
    <n v="25"/>
    <n v="1"/>
    <m/>
    <n v="7"/>
    <m/>
    <n v="2"/>
    <n v="7"/>
    <n v="8"/>
  </r>
  <r>
    <x v="4"/>
    <x v="1"/>
    <m/>
    <x v="34"/>
    <n v="26"/>
    <n v="1"/>
    <m/>
    <n v="6"/>
    <n v="1"/>
    <n v="3"/>
    <n v="9"/>
    <n v="6"/>
  </r>
  <r>
    <x v="4"/>
    <x v="1"/>
    <m/>
    <x v="2"/>
    <n v="22"/>
    <n v="1"/>
    <m/>
    <n v="4"/>
    <n v="2"/>
    <n v="2"/>
    <n v="6"/>
    <n v="7"/>
  </r>
  <r>
    <x v="4"/>
    <x v="1"/>
    <m/>
    <x v="35"/>
    <n v="27"/>
    <n v="1"/>
    <m/>
    <n v="5"/>
    <n v="1"/>
    <n v="3"/>
    <n v="9"/>
    <n v="8"/>
  </r>
  <r>
    <x v="4"/>
    <x v="1"/>
    <m/>
    <x v="36"/>
    <n v="27"/>
    <n v="1"/>
    <m/>
    <n v="3"/>
    <n v="5"/>
    <n v="3"/>
    <n v="7"/>
    <n v="8"/>
  </r>
  <r>
    <x v="4"/>
    <x v="1"/>
    <m/>
    <x v="37"/>
    <n v="16"/>
    <n v="1"/>
    <m/>
    <n v="2"/>
    <n v="2"/>
    <n v="3"/>
    <n v="4"/>
    <n v="4"/>
  </r>
  <r>
    <x v="4"/>
    <x v="1"/>
    <m/>
    <x v="38"/>
    <n v="31"/>
    <n v="1"/>
    <m/>
    <n v="6"/>
    <n v="3"/>
    <n v="3"/>
    <n v="7"/>
    <n v="11"/>
  </r>
  <r>
    <x v="4"/>
    <x v="1"/>
    <m/>
    <x v="39"/>
    <n v="19"/>
    <n v="1"/>
    <m/>
    <n v="3"/>
    <n v="2"/>
    <n v="2"/>
    <n v="5"/>
    <n v="6"/>
  </r>
  <r>
    <x v="4"/>
    <x v="1"/>
    <m/>
    <x v="31"/>
    <n v="22"/>
    <n v="1"/>
    <m/>
    <n v="2"/>
    <n v="1"/>
    <n v="4"/>
    <n v="8"/>
    <n v="6"/>
  </r>
  <r>
    <x v="4"/>
    <x v="1"/>
    <m/>
    <x v="40"/>
    <n v="32"/>
    <n v="1"/>
    <m/>
    <n v="7"/>
    <n v="1"/>
    <n v="4"/>
    <n v="12"/>
    <n v="7"/>
  </r>
  <r>
    <x v="4"/>
    <x v="1"/>
    <m/>
    <x v="29"/>
    <n v="17"/>
    <n v="1"/>
    <m/>
    <n v="2"/>
    <n v="1"/>
    <n v="2"/>
    <n v="6"/>
    <n v="5"/>
  </r>
  <r>
    <x v="4"/>
    <x v="1"/>
    <m/>
    <x v="18"/>
    <n v="16"/>
    <n v="1"/>
    <m/>
    <n v="2"/>
    <n v="1"/>
    <n v="2"/>
    <n v="6"/>
    <n v="4"/>
  </r>
  <r>
    <x v="4"/>
    <x v="1"/>
    <m/>
    <x v="41"/>
    <n v="18"/>
    <n v="1"/>
    <m/>
    <n v="3"/>
    <n v="1"/>
    <n v="3"/>
    <n v="5"/>
    <n v="5"/>
  </r>
  <r>
    <x v="4"/>
    <x v="1"/>
    <m/>
    <x v="42"/>
    <n v="18"/>
    <n v="1"/>
    <m/>
    <n v="5"/>
    <m/>
    <n v="2"/>
    <n v="6"/>
    <n v="4"/>
  </r>
  <r>
    <x v="4"/>
    <x v="1"/>
    <m/>
    <x v="43"/>
    <n v="28"/>
    <n v="1"/>
    <m/>
    <n v="3"/>
    <n v="2"/>
    <n v="4"/>
    <n v="9"/>
    <n v="9"/>
  </r>
  <r>
    <x v="4"/>
    <x v="1"/>
    <m/>
    <x v="32"/>
    <n v="19"/>
    <m/>
    <m/>
    <n v="1"/>
    <n v="4"/>
    <n v="2"/>
    <n v="6"/>
    <n v="6"/>
  </r>
  <r>
    <x v="4"/>
    <x v="2"/>
    <m/>
    <x v="0"/>
    <n v="156"/>
    <n v="3"/>
    <m/>
    <n v="38"/>
    <m/>
    <n v="15"/>
    <n v="29"/>
    <n v="71"/>
  </r>
  <r>
    <x v="4"/>
    <x v="2"/>
    <m/>
    <x v="44"/>
    <n v="73"/>
    <n v="1"/>
    <m/>
    <n v="18"/>
    <m/>
    <n v="4"/>
    <n v="13"/>
    <n v="37"/>
  </r>
  <r>
    <x v="4"/>
    <x v="2"/>
    <m/>
    <x v="45"/>
    <n v="37"/>
    <n v="1"/>
    <m/>
    <n v="9"/>
    <m/>
    <n v="5"/>
    <n v="6"/>
    <n v="16"/>
  </r>
  <r>
    <x v="4"/>
    <x v="2"/>
    <m/>
    <x v="46"/>
    <n v="46"/>
    <n v="1"/>
    <m/>
    <n v="11"/>
    <m/>
    <n v="6"/>
    <n v="10"/>
    <n v="18"/>
  </r>
  <r>
    <x v="4"/>
    <x v="3"/>
    <m/>
    <x v="47"/>
    <n v="143"/>
    <n v="15"/>
    <n v="4"/>
    <m/>
    <n v="55"/>
    <n v="13"/>
    <n v="9"/>
    <n v="47"/>
  </r>
  <r>
    <x v="4"/>
    <x v="4"/>
    <m/>
    <x v="47"/>
    <n v="3544"/>
    <n v="34"/>
    <n v="4"/>
    <n v="689"/>
    <n v="1988"/>
    <n v="74"/>
    <n v="153"/>
    <n v="602"/>
  </r>
  <r>
    <x v="5"/>
    <x v="0"/>
    <m/>
    <x v="0"/>
    <n v="2954"/>
    <m/>
    <m/>
    <n v="592"/>
    <n v="1985"/>
    <m/>
    <m/>
    <n v="377"/>
  </r>
  <r>
    <x v="5"/>
    <x v="0"/>
    <m/>
    <x v="1"/>
    <n v="25"/>
    <m/>
    <m/>
    <n v="5"/>
    <n v="15"/>
    <m/>
    <m/>
    <n v="5"/>
  </r>
  <r>
    <x v="5"/>
    <x v="0"/>
    <m/>
    <x v="2"/>
    <n v="53"/>
    <m/>
    <m/>
    <n v="10"/>
    <n v="38"/>
    <m/>
    <m/>
    <n v="5"/>
  </r>
  <r>
    <x v="5"/>
    <x v="0"/>
    <m/>
    <x v="3"/>
    <n v="47"/>
    <m/>
    <m/>
    <n v="10"/>
    <n v="32"/>
    <m/>
    <m/>
    <n v="5"/>
  </r>
  <r>
    <x v="5"/>
    <x v="0"/>
    <m/>
    <x v="4"/>
    <n v="24"/>
    <m/>
    <m/>
    <n v="5"/>
    <n v="14"/>
    <m/>
    <m/>
    <n v="5"/>
  </r>
  <r>
    <x v="5"/>
    <x v="0"/>
    <m/>
    <x v="5"/>
    <n v="52"/>
    <m/>
    <m/>
    <n v="10"/>
    <n v="31"/>
    <m/>
    <m/>
    <n v="11"/>
  </r>
  <r>
    <x v="5"/>
    <x v="0"/>
    <m/>
    <x v="7"/>
    <n v="88"/>
    <m/>
    <m/>
    <n v="20"/>
    <n v="53"/>
    <m/>
    <m/>
    <n v="15"/>
  </r>
  <r>
    <x v="5"/>
    <x v="0"/>
    <m/>
    <x v="8"/>
    <n v="70"/>
    <m/>
    <m/>
    <n v="15"/>
    <n v="50"/>
    <m/>
    <m/>
    <n v="5"/>
  </r>
  <r>
    <x v="5"/>
    <x v="0"/>
    <m/>
    <x v="9"/>
    <n v="72"/>
    <m/>
    <m/>
    <n v="15"/>
    <n v="47"/>
    <m/>
    <m/>
    <n v="10"/>
  </r>
  <r>
    <x v="5"/>
    <x v="0"/>
    <m/>
    <x v="10"/>
    <n v="26"/>
    <m/>
    <m/>
    <n v="4"/>
    <n v="17"/>
    <m/>
    <m/>
    <n v="5"/>
  </r>
  <r>
    <x v="5"/>
    <x v="0"/>
    <m/>
    <x v="11"/>
    <n v="30"/>
    <m/>
    <m/>
    <n v="5"/>
    <n v="20"/>
    <m/>
    <m/>
    <n v="5"/>
  </r>
  <r>
    <x v="5"/>
    <x v="0"/>
    <m/>
    <x v="12"/>
    <n v="76"/>
    <m/>
    <m/>
    <n v="15"/>
    <n v="45"/>
    <m/>
    <m/>
    <n v="16"/>
  </r>
  <r>
    <x v="5"/>
    <x v="0"/>
    <m/>
    <x v="14"/>
    <n v="69"/>
    <m/>
    <m/>
    <n v="10"/>
    <n v="54"/>
    <m/>
    <m/>
    <n v="5"/>
  </r>
  <r>
    <x v="5"/>
    <x v="0"/>
    <m/>
    <x v="15"/>
    <n v="56"/>
    <m/>
    <m/>
    <n v="10"/>
    <n v="36"/>
    <m/>
    <m/>
    <n v="10"/>
  </r>
  <r>
    <x v="5"/>
    <x v="0"/>
    <m/>
    <x v="17"/>
    <n v="50"/>
    <m/>
    <m/>
    <n v="11"/>
    <n v="34"/>
    <m/>
    <m/>
    <n v="5"/>
  </r>
  <r>
    <x v="5"/>
    <x v="0"/>
    <m/>
    <x v="18"/>
    <n v="167"/>
    <m/>
    <m/>
    <n v="36"/>
    <n v="111"/>
    <m/>
    <m/>
    <n v="20"/>
  </r>
  <r>
    <x v="5"/>
    <x v="0"/>
    <m/>
    <x v="19"/>
    <n v="49"/>
    <m/>
    <m/>
    <n v="10"/>
    <n v="34"/>
    <m/>
    <m/>
    <n v="5"/>
  </r>
  <r>
    <x v="5"/>
    <x v="0"/>
    <m/>
    <x v="20"/>
    <n v="153"/>
    <m/>
    <m/>
    <n v="35"/>
    <n v="103"/>
    <m/>
    <m/>
    <n v="15"/>
  </r>
  <r>
    <x v="5"/>
    <x v="0"/>
    <m/>
    <x v="21"/>
    <n v="30"/>
    <m/>
    <m/>
    <n v="5"/>
    <n v="20"/>
    <m/>
    <m/>
    <n v="5"/>
  </r>
  <r>
    <x v="5"/>
    <x v="0"/>
    <m/>
    <x v="22"/>
    <n v="54"/>
    <m/>
    <m/>
    <n v="11"/>
    <n v="33"/>
    <m/>
    <m/>
    <n v="10"/>
  </r>
  <r>
    <x v="5"/>
    <x v="0"/>
    <m/>
    <x v="23"/>
    <n v="297"/>
    <m/>
    <m/>
    <n v="59"/>
    <n v="203"/>
    <m/>
    <m/>
    <n v="35"/>
  </r>
  <r>
    <x v="5"/>
    <x v="0"/>
    <m/>
    <x v="24"/>
    <n v="99"/>
    <m/>
    <m/>
    <n v="18"/>
    <n v="65"/>
    <m/>
    <m/>
    <n v="16"/>
  </r>
  <r>
    <x v="5"/>
    <x v="0"/>
    <m/>
    <x v="25"/>
    <n v="73"/>
    <m/>
    <m/>
    <n v="15"/>
    <n v="48"/>
    <m/>
    <m/>
    <n v="10"/>
  </r>
  <r>
    <x v="5"/>
    <x v="0"/>
    <m/>
    <x v="26"/>
    <n v="56"/>
    <m/>
    <m/>
    <n v="10"/>
    <n v="36"/>
    <m/>
    <m/>
    <n v="10"/>
  </r>
  <r>
    <x v="5"/>
    <x v="0"/>
    <m/>
    <x v="27"/>
    <n v="28"/>
    <m/>
    <m/>
    <n v="5"/>
    <n v="18"/>
    <m/>
    <m/>
    <n v="5"/>
  </r>
  <r>
    <x v="5"/>
    <x v="0"/>
    <m/>
    <x v="28"/>
    <n v="177"/>
    <m/>
    <m/>
    <n v="35"/>
    <n v="122"/>
    <m/>
    <m/>
    <n v="20"/>
  </r>
  <r>
    <x v="5"/>
    <x v="0"/>
    <m/>
    <x v="29"/>
    <n v="166"/>
    <m/>
    <m/>
    <n v="35"/>
    <n v="111"/>
    <m/>
    <m/>
    <n v="20"/>
  </r>
  <r>
    <x v="5"/>
    <x v="0"/>
    <m/>
    <x v="30"/>
    <n v="78"/>
    <m/>
    <m/>
    <n v="15"/>
    <n v="47"/>
    <m/>
    <m/>
    <n v="16"/>
  </r>
  <r>
    <x v="5"/>
    <x v="0"/>
    <m/>
    <x v="31"/>
    <n v="515"/>
    <m/>
    <m/>
    <n v="110"/>
    <n v="349"/>
    <m/>
    <m/>
    <n v="56"/>
  </r>
  <r>
    <x v="5"/>
    <x v="0"/>
    <m/>
    <x v="32"/>
    <n v="274"/>
    <m/>
    <m/>
    <n v="48"/>
    <n v="199"/>
    <m/>
    <m/>
    <n v="27"/>
  </r>
  <r>
    <x v="5"/>
    <x v="1"/>
    <m/>
    <x v="0"/>
    <n v="387"/>
    <n v="16"/>
    <m/>
    <n v="54"/>
    <n v="29"/>
    <n v="49"/>
    <n v="115"/>
    <n v="124"/>
  </r>
  <r>
    <x v="5"/>
    <x v="1"/>
    <m/>
    <x v="20"/>
    <n v="17"/>
    <n v="1"/>
    <m/>
    <n v="2"/>
    <n v="2"/>
    <n v="2"/>
    <n v="4"/>
    <n v="6"/>
  </r>
  <r>
    <x v="5"/>
    <x v="1"/>
    <m/>
    <x v="33"/>
    <n v="25"/>
    <n v="1"/>
    <m/>
    <n v="6"/>
    <m/>
    <n v="2"/>
    <n v="8"/>
    <n v="8"/>
  </r>
  <r>
    <x v="5"/>
    <x v="1"/>
    <m/>
    <x v="34"/>
    <n v="26"/>
    <n v="1"/>
    <m/>
    <n v="6"/>
    <n v="2"/>
    <n v="3"/>
    <n v="8"/>
    <n v="6"/>
  </r>
  <r>
    <x v="5"/>
    <x v="1"/>
    <m/>
    <x v="2"/>
    <n v="22"/>
    <n v="1"/>
    <m/>
    <n v="4"/>
    <n v="2"/>
    <n v="2"/>
    <n v="6"/>
    <n v="7"/>
  </r>
  <r>
    <x v="5"/>
    <x v="1"/>
    <m/>
    <x v="35"/>
    <n v="25"/>
    <n v="1"/>
    <m/>
    <n v="2"/>
    <n v="2"/>
    <n v="3"/>
    <n v="9"/>
    <n v="8"/>
  </r>
  <r>
    <x v="5"/>
    <x v="1"/>
    <m/>
    <x v="36"/>
    <n v="25"/>
    <n v="1"/>
    <m/>
    <n v="2"/>
    <n v="3"/>
    <n v="3"/>
    <n v="7"/>
    <n v="9"/>
  </r>
  <r>
    <x v="5"/>
    <x v="1"/>
    <m/>
    <x v="37"/>
    <n v="14"/>
    <n v="1"/>
    <m/>
    <m/>
    <n v="2"/>
    <n v="4"/>
    <n v="4"/>
    <n v="3"/>
  </r>
  <r>
    <x v="5"/>
    <x v="1"/>
    <m/>
    <x v="38"/>
    <n v="30"/>
    <n v="1"/>
    <m/>
    <n v="5"/>
    <n v="2"/>
    <n v="5"/>
    <n v="4"/>
    <n v="12"/>
  </r>
  <r>
    <x v="5"/>
    <x v="1"/>
    <m/>
    <x v="39"/>
    <n v="20"/>
    <n v="1"/>
    <m/>
    <n v="3"/>
    <n v="2"/>
    <n v="2"/>
    <n v="6"/>
    <n v="6"/>
  </r>
  <r>
    <x v="5"/>
    <x v="1"/>
    <m/>
    <x v="31"/>
    <n v="25"/>
    <n v="1"/>
    <m/>
    <n v="2"/>
    <n v="2"/>
    <n v="4"/>
    <n v="9"/>
    <n v="7"/>
  </r>
  <r>
    <x v="5"/>
    <x v="1"/>
    <m/>
    <x v="40"/>
    <n v="43"/>
    <n v="1"/>
    <m/>
    <n v="9"/>
    <n v="1"/>
    <n v="4"/>
    <n v="14"/>
    <n v="16"/>
  </r>
  <r>
    <x v="5"/>
    <x v="1"/>
    <m/>
    <x v="29"/>
    <n v="17"/>
    <n v="1"/>
    <m/>
    <n v="2"/>
    <n v="1"/>
    <n v="2"/>
    <n v="5"/>
    <n v="6"/>
  </r>
  <r>
    <x v="5"/>
    <x v="1"/>
    <m/>
    <x v="18"/>
    <n v="16"/>
    <n v="1"/>
    <m/>
    <n v="2"/>
    <n v="1"/>
    <n v="2"/>
    <n v="6"/>
    <n v="4"/>
  </r>
  <r>
    <x v="5"/>
    <x v="1"/>
    <m/>
    <x v="41"/>
    <n v="18"/>
    <n v="1"/>
    <m/>
    <n v="3"/>
    <n v="1"/>
    <n v="2"/>
    <n v="6"/>
    <n v="5"/>
  </r>
  <r>
    <x v="5"/>
    <x v="1"/>
    <m/>
    <x v="42"/>
    <n v="16"/>
    <n v="1"/>
    <m/>
    <n v="3"/>
    <m/>
    <n v="3"/>
    <n v="5"/>
    <n v="4"/>
  </r>
  <r>
    <x v="5"/>
    <x v="1"/>
    <m/>
    <x v="43"/>
    <n v="29"/>
    <n v="1"/>
    <m/>
    <n v="3"/>
    <n v="2"/>
    <n v="4"/>
    <n v="8"/>
    <n v="11"/>
  </r>
  <r>
    <x v="5"/>
    <x v="1"/>
    <m/>
    <x v="32"/>
    <n v="18"/>
    <m/>
    <m/>
    <m/>
    <n v="4"/>
    <n v="2"/>
    <n v="6"/>
    <n v="6"/>
  </r>
  <r>
    <x v="5"/>
    <x v="2"/>
    <m/>
    <x v="0"/>
    <n v="146"/>
    <n v="3"/>
    <m/>
    <n v="41"/>
    <m/>
    <n v="14"/>
    <n v="24"/>
    <n v="64"/>
  </r>
  <r>
    <x v="5"/>
    <x v="2"/>
    <m/>
    <x v="44"/>
    <n v="79"/>
    <n v="1"/>
    <m/>
    <n v="26"/>
    <m/>
    <n v="5"/>
    <n v="12"/>
    <n v="35"/>
  </r>
  <r>
    <x v="5"/>
    <x v="2"/>
    <m/>
    <x v="45"/>
    <n v="37"/>
    <n v="1"/>
    <m/>
    <n v="8"/>
    <m/>
    <n v="5"/>
    <n v="5"/>
    <n v="18"/>
  </r>
  <r>
    <x v="5"/>
    <x v="2"/>
    <m/>
    <x v="46"/>
    <n v="30"/>
    <n v="1"/>
    <m/>
    <n v="7"/>
    <m/>
    <n v="4"/>
    <n v="7"/>
    <n v="11"/>
  </r>
  <r>
    <x v="5"/>
    <x v="3"/>
    <m/>
    <x v="47"/>
    <n v="149"/>
    <n v="14"/>
    <n v="4"/>
    <m/>
    <n v="60"/>
    <n v="17"/>
    <n v="8"/>
    <n v="46"/>
  </r>
  <r>
    <x v="5"/>
    <x v="4"/>
    <m/>
    <x v="47"/>
    <n v="3636"/>
    <n v="33"/>
    <n v="4"/>
    <n v="687"/>
    <n v="2074"/>
    <n v="80"/>
    <n v="147"/>
    <n v="611"/>
  </r>
</pivotCacheRecords>
</file>

<file path=xl/pivotCache/pivotCacheRecords31.xml><?xml version="1.0" encoding="utf-8"?>
<pivotCacheRecords xmlns="http://schemas.openxmlformats.org/spreadsheetml/2006/main" xmlns:r="http://schemas.openxmlformats.org/officeDocument/2006/relationships" count="192">
  <r>
    <x v="0"/>
    <x v="0"/>
    <m/>
    <x v="0"/>
    <n v="2665.13"/>
    <n v="262.12"/>
    <n v="489.46"/>
    <n v="1913.55"/>
  </r>
  <r>
    <x v="0"/>
    <x v="0"/>
    <m/>
    <x v="1"/>
    <n v="16.71"/>
    <n v="1.52"/>
    <n v="3.29"/>
    <n v="11.9"/>
  </r>
  <r>
    <x v="0"/>
    <x v="0"/>
    <m/>
    <x v="2"/>
    <n v="177.25"/>
    <n v="15.25"/>
    <n v="31.25"/>
    <n v="130.75"/>
  </r>
  <r>
    <x v="0"/>
    <x v="0"/>
    <m/>
    <x v="3"/>
    <n v="66.86"/>
    <n v="8.25"/>
    <n v="8.5"/>
    <n v="50.11"/>
  </r>
  <r>
    <x v="0"/>
    <x v="0"/>
    <m/>
    <x v="4"/>
    <n v="46.75"/>
    <n v="5"/>
    <n v="8.75"/>
    <n v="33"/>
  </r>
  <r>
    <x v="0"/>
    <x v="0"/>
    <m/>
    <x v="5"/>
    <m/>
    <m/>
    <m/>
    <m/>
  </r>
  <r>
    <x v="0"/>
    <x v="0"/>
    <m/>
    <x v="6"/>
    <n v="124"/>
    <n v="12.5"/>
    <n v="24"/>
    <n v="87.5"/>
  </r>
  <r>
    <x v="0"/>
    <x v="0"/>
    <m/>
    <x v="7"/>
    <n v="49.69"/>
    <n v="3.81"/>
    <n v="7.6"/>
    <n v="38.28"/>
  </r>
  <r>
    <x v="0"/>
    <x v="0"/>
    <m/>
    <x v="8"/>
    <n v="525.5"/>
    <n v="52.25"/>
    <n v="108.25"/>
    <n v="365"/>
  </r>
  <r>
    <x v="0"/>
    <x v="0"/>
    <m/>
    <x v="9"/>
    <n v="35.5"/>
    <n v="3"/>
    <n v="3.75"/>
    <n v="28.75"/>
  </r>
  <r>
    <x v="0"/>
    <x v="0"/>
    <m/>
    <x v="10"/>
    <n v="8.75"/>
    <n v="1"/>
    <n v="1.75"/>
    <n v="6"/>
  </r>
  <r>
    <x v="0"/>
    <x v="0"/>
    <m/>
    <x v="11"/>
    <n v="95.38"/>
    <n v="8"/>
    <n v="19.5"/>
    <n v="67.88"/>
  </r>
  <r>
    <x v="0"/>
    <x v="0"/>
    <m/>
    <x v="12"/>
    <n v="86.25"/>
    <n v="8.5"/>
    <n v="14"/>
    <n v="63.75"/>
  </r>
  <r>
    <x v="0"/>
    <x v="0"/>
    <m/>
    <x v="13"/>
    <n v="111"/>
    <n v="12"/>
    <n v="21.25"/>
    <n v="77.75"/>
  </r>
  <r>
    <x v="0"/>
    <x v="0"/>
    <m/>
    <x v="14"/>
    <n v="128"/>
    <n v="9.5"/>
    <n v="24"/>
    <n v="94.5"/>
  </r>
  <r>
    <x v="0"/>
    <x v="0"/>
    <m/>
    <x v="15"/>
    <n v="119.5"/>
    <n v="12.5"/>
    <n v="22"/>
    <n v="85"/>
  </r>
  <r>
    <x v="0"/>
    <x v="0"/>
    <m/>
    <x v="16"/>
    <n v="126"/>
    <n v="12.25"/>
    <n v="28.25"/>
    <n v="85.5"/>
  </r>
  <r>
    <x v="0"/>
    <x v="0"/>
    <m/>
    <x v="17"/>
    <n v="49.25"/>
    <n v="5"/>
    <n v="8.25"/>
    <n v="36"/>
  </r>
  <r>
    <x v="0"/>
    <x v="0"/>
    <m/>
    <x v="18"/>
    <n v="79.25"/>
    <n v="8.75"/>
    <n v="8"/>
    <n v="62.5"/>
  </r>
  <r>
    <x v="0"/>
    <x v="0"/>
    <m/>
    <x v="19"/>
    <n v="58.03"/>
    <n v="7.33"/>
    <n v="11.9"/>
    <n v="38.799999999999997"/>
  </r>
  <r>
    <x v="0"/>
    <x v="0"/>
    <m/>
    <x v="20"/>
    <n v="6.5"/>
    <n v="1"/>
    <n v="1.75"/>
    <n v="3.75"/>
  </r>
  <r>
    <x v="0"/>
    <x v="0"/>
    <m/>
    <x v="21"/>
    <n v="269.71000000000004"/>
    <n v="27.46"/>
    <n v="57.67"/>
    <n v="184.58"/>
  </r>
  <r>
    <x v="0"/>
    <x v="0"/>
    <m/>
    <x v="22"/>
    <n v="178.25"/>
    <n v="16.75"/>
    <n v="22.75"/>
    <n v="138.75"/>
  </r>
  <r>
    <x v="0"/>
    <x v="0"/>
    <m/>
    <x v="23"/>
    <n v="9.75"/>
    <n v="0.75"/>
    <n v="1.75"/>
    <n v="7.25"/>
  </r>
  <r>
    <x v="0"/>
    <x v="0"/>
    <m/>
    <x v="24"/>
    <n v="11.75"/>
    <n v="1"/>
    <n v="2"/>
    <n v="8.75"/>
  </r>
  <r>
    <x v="0"/>
    <x v="0"/>
    <m/>
    <x v="25"/>
    <n v="15.75"/>
    <n v="1.75"/>
    <n v="1"/>
    <n v="13"/>
  </r>
  <r>
    <x v="0"/>
    <x v="0"/>
    <m/>
    <x v="26"/>
    <n v="49.75"/>
    <n v="5.75"/>
    <n v="9.5"/>
    <n v="34.5"/>
  </r>
  <r>
    <x v="0"/>
    <x v="0"/>
    <m/>
    <x v="27"/>
    <n v="86.75"/>
    <n v="7"/>
    <n v="17"/>
    <n v="62.75"/>
  </r>
  <r>
    <x v="0"/>
    <x v="0"/>
    <m/>
    <x v="28"/>
    <n v="12.25"/>
    <n v="0.75"/>
    <n v="2.75"/>
    <n v="8.75"/>
  </r>
  <r>
    <x v="0"/>
    <x v="0"/>
    <m/>
    <x v="29"/>
    <n v="27"/>
    <n v="2.75"/>
    <n v="3"/>
    <n v="21.25"/>
  </r>
  <r>
    <x v="0"/>
    <x v="0"/>
    <m/>
    <x v="30"/>
    <m/>
    <m/>
    <m/>
    <m/>
  </r>
  <r>
    <x v="0"/>
    <x v="0"/>
    <m/>
    <x v="31"/>
    <n v="2"/>
    <m/>
    <n v="1"/>
    <n v="1"/>
  </r>
  <r>
    <x v="0"/>
    <x v="0"/>
    <m/>
    <x v="32"/>
    <n v="92"/>
    <n v="10.75"/>
    <n v="15"/>
    <n v="66.25"/>
  </r>
  <r>
    <x v="1"/>
    <x v="0"/>
    <m/>
    <x v="0"/>
    <n v="2668.5"/>
    <n v="263.75"/>
    <n v="498"/>
    <n v="1906.75"/>
  </r>
  <r>
    <x v="1"/>
    <x v="0"/>
    <m/>
    <x v="1"/>
    <n v="18.25"/>
    <n v="1.5"/>
    <n v="4"/>
    <n v="12.75"/>
  </r>
  <r>
    <x v="1"/>
    <x v="0"/>
    <m/>
    <x v="2"/>
    <n v="185"/>
    <n v="15.25"/>
    <n v="32.75"/>
    <n v="137"/>
  </r>
  <r>
    <x v="1"/>
    <x v="0"/>
    <m/>
    <x v="3"/>
    <n v="71.25"/>
    <n v="7.5"/>
    <n v="7.25"/>
    <n v="56.5"/>
  </r>
  <r>
    <x v="1"/>
    <x v="0"/>
    <m/>
    <x v="4"/>
    <n v="52.75"/>
    <n v="5"/>
    <n v="11.5"/>
    <n v="36.25"/>
  </r>
  <r>
    <x v="1"/>
    <x v="0"/>
    <m/>
    <x v="5"/>
    <n v="0"/>
    <n v="0"/>
    <n v="0"/>
    <n v="0"/>
  </r>
  <r>
    <x v="1"/>
    <x v="0"/>
    <m/>
    <x v="6"/>
    <n v="140.25"/>
    <n v="15.5"/>
    <n v="26.5"/>
    <n v="98.25"/>
  </r>
  <r>
    <x v="1"/>
    <x v="0"/>
    <m/>
    <x v="7"/>
    <n v="51.75"/>
    <n v="4.5"/>
    <n v="6.75"/>
    <n v="40.5"/>
  </r>
  <r>
    <x v="1"/>
    <x v="0"/>
    <m/>
    <x v="8"/>
    <n v="512.75"/>
    <n v="52.25"/>
    <n v="100.25"/>
    <n v="360.25"/>
  </r>
  <r>
    <x v="1"/>
    <x v="0"/>
    <m/>
    <x v="9"/>
    <n v="33.5"/>
    <n v="3"/>
    <n v="3.75"/>
    <n v="26.75"/>
  </r>
  <r>
    <x v="1"/>
    <x v="0"/>
    <m/>
    <x v="10"/>
    <n v="11.75"/>
    <n v="1"/>
    <n v="1.75"/>
    <n v="9"/>
  </r>
  <r>
    <x v="1"/>
    <x v="0"/>
    <m/>
    <x v="11"/>
    <n v="111.75"/>
    <n v="10"/>
    <n v="23"/>
    <n v="78.75"/>
  </r>
  <r>
    <x v="1"/>
    <x v="0"/>
    <m/>
    <x v="12"/>
    <n v="82.5"/>
    <n v="8.5"/>
    <n v="15.5"/>
    <n v="58.5"/>
  </r>
  <r>
    <x v="1"/>
    <x v="0"/>
    <m/>
    <x v="13"/>
    <n v="107.25"/>
    <n v="12"/>
    <n v="25"/>
    <n v="70.25"/>
  </r>
  <r>
    <x v="1"/>
    <x v="0"/>
    <m/>
    <x v="14"/>
    <n v="116.75"/>
    <n v="12.75"/>
    <n v="24.25"/>
    <n v="79.75"/>
  </r>
  <r>
    <x v="1"/>
    <x v="0"/>
    <m/>
    <x v="15"/>
    <n v="132.25"/>
    <n v="13.25"/>
    <n v="22.75"/>
    <n v="96.25"/>
  </r>
  <r>
    <x v="1"/>
    <x v="0"/>
    <m/>
    <x v="16"/>
    <n v="119"/>
    <n v="11.25"/>
    <n v="28"/>
    <n v="79.75"/>
  </r>
  <r>
    <x v="1"/>
    <x v="0"/>
    <m/>
    <x v="17"/>
    <n v="49"/>
    <n v="5"/>
    <n v="8.25"/>
    <n v="35.75"/>
  </r>
  <r>
    <x v="1"/>
    <x v="0"/>
    <m/>
    <x v="18"/>
    <n v="76.75"/>
    <n v="8.75"/>
    <n v="8"/>
    <n v="60"/>
  </r>
  <r>
    <x v="1"/>
    <x v="0"/>
    <m/>
    <x v="19"/>
    <n v="58.5"/>
    <n v="7.25"/>
    <n v="11"/>
    <n v="40.25"/>
  </r>
  <r>
    <x v="1"/>
    <x v="0"/>
    <m/>
    <x v="20"/>
    <n v="6.5"/>
    <n v="1"/>
    <n v="1.75"/>
    <n v="3.75"/>
  </r>
  <r>
    <x v="1"/>
    <x v="0"/>
    <m/>
    <x v="21"/>
    <n v="253.25"/>
    <n v="25.25"/>
    <n v="56"/>
    <n v="172"/>
  </r>
  <r>
    <x v="1"/>
    <x v="0"/>
    <m/>
    <x v="22"/>
    <n v="166.5"/>
    <n v="14.75"/>
    <n v="22.75"/>
    <n v="129"/>
  </r>
  <r>
    <x v="1"/>
    <x v="0"/>
    <m/>
    <x v="23"/>
    <n v="10.5"/>
    <n v="0.75"/>
    <n v="1.75"/>
    <n v="8"/>
  </r>
  <r>
    <x v="1"/>
    <x v="0"/>
    <m/>
    <x v="24"/>
    <n v="11.75"/>
    <n v="1"/>
    <n v="2"/>
    <n v="8.75"/>
  </r>
  <r>
    <x v="1"/>
    <x v="0"/>
    <m/>
    <x v="25"/>
    <n v="18.5"/>
    <n v="1.75"/>
    <n v="1"/>
    <n v="15.75"/>
  </r>
  <r>
    <x v="1"/>
    <x v="0"/>
    <m/>
    <x v="26"/>
    <n v="53"/>
    <n v="5"/>
    <n v="10"/>
    <n v="38"/>
  </r>
  <r>
    <x v="1"/>
    <x v="0"/>
    <m/>
    <x v="27"/>
    <n v="83.5"/>
    <n v="7"/>
    <n v="18"/>
    <n v="58.5"/>
  </r>
  <r>
    <x v="1"/>
    <x v="0"/>
    <m/>
    <x v="28"/>
    <n v="11.75"/>
    <n v="0.75"/>
    <n v="2.75"/>
    <n v="8.25"/>
  </r>
  <r>
    <x v="1"/>
    <x v="0"/>
    <m/>
    <x v="29"/>
    <n v="28.25"/>
    <n v="2.5"/>
    <n v="3"/>
    <n v="22.75"/>
  </r>
  <r>
    <x v="1"/>
    <x v="0"/>
    <m/>
    <x v="30"/>
    <n v="0"/>
    <n v="0"/>
    <n v="0"/>
    <n v="0"/>
  </r>
  <r>
    <x v="1"/>
    <x v="0"/>
    <m/>
    <x v="31"/>
    <n v="0"/>
    <n v="0"/>
    <n v="0"/>
    <n v="0"/>
  </r>
  <r>
    <x v="1"/>
    <x v="0"/>
    <m/>
    <x v="32"/>
    <n v="94"/>
    <n v="9.75"/>
    <n v="18.75"/>
    <n v="65.5"/>
  </r>
  <r>
    <x v="2"/>
    <x v="0"/>
    <m/>
    <x v="0"/>
    <n v="2527"/>
    <n v="248"/>
    <n v="486"/>
    <n v="1793"/>
  </r>
  <r>
    <x v="2"/>
    <x v="0"/>
    <m/>
    <x v="1"/>
    <n v="16.25"/>
    <n v="2"/>
    <n v="3"/>
    <n v="11.25"/>
  </r>
  <r>
    <x v="2"/>
    <x v="0"/>
    <m/>
    <x v="2"/>
    <n v="169"/>
    <n v="14.5"/>
    <n v="30.75"/>
    <n v="123.75"/>
  </r>
  <r>
    <x v="2"/>
    <x v="0"/>
    <m/>
    <x v="3"/>
    <n v="71"/>
    <n v="6.25"/>
    <n v="8.75"/>
    <n v="56"/>
  </r>
  <r>
    <x v="2"/>
    <x v="0"/>
    <m/>
    <x v="4"/>
    <n v="45.25"/>
    <n v="4"/>
    <n v="9.75"/>
    <n v="31.5"/>
  </r>
  <r>
    <x v="2"/>
    <x v="0"/>
    <m/>
    <x v="5"/>
    <n v="1"/>
    <n v="0"/>
    <n v="0"/>
    <n v="1"/>
  </r>
  <r>
    <x v="2"/>
    <x v="0"/>
    <m/>
    <x v="6"/>
    <n v="134.25"/>
    <n v="11.75"/>
    <n v="33"/>
    <n v="89.5"/>
  </r>
  <r>
    <x v="2"/>
    <x v="0"/>
    <m/>
    <x v="7"/>
    <n v="39.75"/>
    <n v="3.75"/>
    <n v="7"/>
    <n v="29"/>
  </r>
  <r>
    <x v="2"/>
    <x v="0"/>
    <m/>
    <x v="8"/>
    <n v="489.75"/>
    <n v="51"/>
    <n v="102.5"/>
    <n v="336.25"/>
  </r>
  <r>
    <x v="2"/>
    <x v="0"/>
    <m/>
    <x v="9"/>
    <n v="33.75"/>
    <n v="3.5"/>
    <n v="5.5"/>
    <n v="24.75"/>
  </r>
  <r>
    <x v="2"/>
    <x v="0"/>
    <m/>
    <x v="10"/>
    <n v="9.25"/>
    <n v="1"/>
    <n v="1.75"/>
    <n v="6.5"/>
  </r>
  <r>
    <x v="2"/>
    <x v="0"/>
    <m/>
    <x v="11"/>
    <n v="97.25"/>
    <n v="11"/>
    <n v="21"/>
    <n v="65.25"/>
  </r>
  <r>
    <x v="2"/>
    <x v="0"/>
    <m/>
    <x v="12"/>
    <n v="91.5"/>
    <n v="9"/>
    <n v="10"/>
    <n v="72.5"/>
  </r>
  <r>
    <x v="2"/>
    <x v="0"/>
    <m/>
    <x v="13"/>
    <n v="96.5"/>
    <n v="12"/>
    <n v="18.75"/>
    <n v="65.75"/>
  </r>
  <r>
    <x v="2"/>
    <x v="0"/>
    <m/>
    <x v="14"/>
    <n v="110.5"/>
    <n v="8.75"/>
    <n v="22.5"/>
    <n v="79.25"/>
  </r>
  <r>
    <x v="2"/>
    <x v="0"/>
    <m/>
    <x v="15"/>
    <n v="123.25"/>
    <n v="11.5"/>
    <n v="22.5"/>
    <n v="89.25"/>
  </r>
  <r>
    <x v="2"/>
    <x v="0"/>
    <m/>
    <x v="16"/>
    <n v="116.75"/>
    <n v="13.25"/>
    <n v="23.25"/>
    <n v="80.25"/>
  </r>
  <r>
    <x v="2"/>
    <x v="0"/>
    <m/>
    <x v="17"/>
    <n v="46"/>
    <n v="4.75"/>
    <n v="5.75"/>
    <n v="35.5"/>
  </r>
  <r>
    <x v="2"/>
    <x v="0"/>
    <m/>
    <x v="18"/>
    <n v="64"/>
    <n v="7.75"/>
    <n v="8.75"/>
    <n v="47.5"/>
  </r>
  <r>
    <x v="2"/>
    <x v="0"/>
    <m/>
    <x v="19"/>
    <n v="62.25"/>
    <n v="8.25"/>
    <n v="15"/>
    <n v="39"/>
  </r>
  <r>
    <x v="2"/>
    <x v="0"/>
    <m/>
    <x v="20"/>
    <n v="15.25"/>
    <n v="1.75"/>
    <n v="5.5"/>
    <n v="8"/>
  </r>
  <r>
    <x v="2"/>
    <x v="0"/>
    <m/>
    <x v="21"/>
    <n v="226.25"/>
    <n v="24"/>
    <n v="56.25"/>
    <n v="146"/>
  </r>
  <r>
    <x v="2"/>
    <x v="0"/>
    <m/>
    <x v="22"/>
    <n v="171.39285714285714"/>
    <n v="11.75"/>
    <n v="24.75"/>
    <n v="134.89285714285714"/>
  </r>
  <r>
    <x v="2"/>
    <x v="0"/>
    <m/>
    <x v="23"/>
    <n v="10"/>
    <n v="1"/>
    <n v="1.75"/>
    <n v="7.25"/>
  </r>
  <r>
    <x v="2"/>
    <x v="0"/>
    <m/>
    <x v="24"/>
    <n v="10.5"/>
    <n v="1"/>
    <n v="1"/>
    <n v="8.5"/>
  </r>
  <r>
    <x v="2"/>
    <x v="0"/>
    <m/>
    <x v="25"/>
    <n v="16.75"/>
    <n v="1.75"/>
    <n v="1.75"/>
    <n v="13.25"/>
  </r>
  <r>
    <x v="2"/>
    <x v="0"/>
    <m/>
    <x v="26"/>
    <n v="44.25"/>
    <n v="4.25"/>
    <n v="8.25"/>
    <n v="31.75"/>
  </r>
  <r>
    <x v="2"/>
    <x v="0"/>
    <m/>
    <x v="27"/>
    <n v="82"/>
    <n v="6"/>
    <n v="13.5"/>
    <n v="62.5"/>
  </r>
  <r>
    <x v="2"/>
    <x v="0"/>
    <m/>
    <x v="28"/>
    <n v="9.5"/>
    <n v="0.75"/>
    <n v="2.5"/>
    <n v="6.25"/>
  </r>
  <r>
    <x v="2"/>
    <x v="0"/>
    <m/>
    <x v="29"/>
    <n v="27"/>
    <n v="2.5"/>
    <n v="2.5"/>
    <n v="22"/>
  </r>
  <r>
    <x v="2"/>
    <x v="0"/>
    <m/>
    <x v="30"/>
    <n v="0"/>
    <n v="0"/>
    <n v="0"/>
    <n v="0"/>
  </r>
  <r>
    <x v="2"/>
    <x v="0"/>
    <m/>
    <x v="31"/>
    <n v="3.25"/>
    <n v="0"/>
    <n v="0"/>
    <n v="3.25"/>
  </r>
  <r>
    <x v="2"/>
    <x v="0"/>
    <m/>
    <x v="32"/>
    <n v="93.37"/>
    <n v="9"/>
    <n v="18.93"/>
    <n v="65.44"/>
  </r>
  <r>
    <x v="3"/>
    <x v="0"/>
    <m/>
    <x v="0"/>
    <n v="2546"/>
    <n v="246"/>
    <n v="499"/>
    <n v="1800"/>
  </r>
  <r>
    <x v="3"/>
    <x v="0"/>
    <m/>
    <x v="1"/>
    <n v="17"/>
    <n v="2"/>
    <n v="2"/>
    <n v="13"/>
  </r>
  <r>
    <x v="3"/>
    <x v="0"/>
    <m/>
    <x v="2"/>
    <n v="177"/>
    <n v="14"/>
    <n v="34"/>
    <n v="129"/>
  </r>
  <r>
    <x v="3"/>
    <x v="0"/>
    <m/>
    <x v="3"/>
    <n v="69"/>
    <n v="6"/>
    <n v="9"/>
    <n v="54"/>
  </r>
  <r>
    <x v="3"/>
    <x v="0"/>
    <m/>
    <x v="4"/>
    <n v="45"/>
    <n v="4"/>
    <n v="11"/>
    <n v="30"/>
  </r>
  <r>
    <x v="3"/>
    <x v="0"/>
    <m/>
    <x v="5"/>
    <n v="0"/>
    <n v="0"/>
    <n v="0"/>
    <n v="0"/>
  </r>
  <r>
    <x v="3"/>
    <x v="0"/>
    <m/>
    <x v="6"/>
    <n v="130"/>
    <n v="12"/>
    <n v="32"/>
    <n v="86"/>
  </r>
  <r>
    <x v="3"/>
    <x v="0"/>
    <m/>
    <x v="7"/>
    <n v="39"/>
    <n v="3"/>
    <n v="7"/>
    <n v="29"/>
  </r>
  <r>
    <x v="3"/>
    <x v="0"/>
    <m/>
    <x v="8"/>
    <n v="485"/>
    <n v="50"/>
    <n v="97"/>
    <n v="338"/>
  </r>
  <r>
    <x v="3"/>
    <x v="0"/>
    <m/>
    <x v="9"/>
    <n v="31"/>
    <n v="2"/>
    <n v="5"/>
    <n v="24"/>
  </r>
  <r>
    <x v="3"/>
    <x v="0"/>
    <m/>
    <x v="10"/>
    <n v="8"/>
    <n v="1"/>
    <n v="1"/>
    <n v="6"/>
  </r>
  <r>
    <x v="3"/>
    <x v="0"/>
    <m/>
    <x v="11"/>
    <n v="112"/>
    <n v="11"/>
    <n v="22"/>
    <n v="79"/>
  </r>
  <r>
    <x v="3"/>
    <x v="0"/>
    <m/>
    <x v="12"/>
    <n v="89"/>
    <n v="9"/>
    <n v="10"/>
    <n v="70"/>
  </r>
  <r>
    <x v="3"/>
    <x v="0"/>
    <m/>
    <x v="13"/>
    <n v="92"/>
    <n v="11"/>
    <n v="20"/>
    <n v="61"/>
  </r>
  <r>
    <x v="3"/>
    <x v="0"/>
    <m/>
    <x v="14"/>
    <n v="107"/>
    <n v="8"/>
    <n v="21"/>
    <n v="78"/>
  </r>
  <r>
    <x v="3"/>
    <x v="0"/>
    <m/>
    <x v="15"/>
    <n v="118"/>
    <n v="12"/>
    <n v="23"/>
    <n v="83"/>
  </r>
  <r>
    <x v="3"/>
    <x v="0"/>
    <m/>
    <x v="16"/>
    <n v="112"/>
    <n v="11"/>
    <n v="25"/>
    <n v="76"/>
  </r>
  <r>
    <x v="3"/>
    <x v="0"/>
    <m/>
    <x v="17"/>
    <n v="42"/>
    <n v="5"/>
    <n v="7"/>
    <n v="30"/>
  </r>
  <r>
    <x v="3"/>
    <x v="0"/>
    <m/>
    <x v="18"/>
    <n v="64"/>
    <n v="7"/>
    <n v="8"/>
    <n v="49"/>
  </r>
  <r>
    <x v="3"/>
    <x v="0"/>
    <m/>
    <x v="19"/>
    <n v="63"/>
    <n v="7"/>
    <n v="15"/>
    <n v="41"/>
  </r>
  <r>
    <x v="3"/>
    <x v="0"/>
    <m/>
    <x v="20"/>
    <n v="5"/>
    <n v="1"/>
    <n v="1"/>
    <n v="3"/>
  </r>
  <r>
    <x v="3"/>
    <x v="0"/>
    <m/>
    <x v="21"/>
    <n v="250"/>
    <n v="24"/>
    <n v="61"/>
    <n v="165"/>
  </r>
  <r>
    <x v="3"/>
    <x v="0"/>
    <m/>
    <x v="22"/>
    <n v="171"/>
    <n v="13"/>
    <n v="25"/>
    <n v="133"/>
  </r>
  <r>
    <x v="3"/>
    <x v="0"/>
    <m/>
    <x v="23"/>
    <n v="9"/>
    <n v="1"/>
    <n v="1"/>
    <n v="7"/>
  </r>
  <r>
    <x v="3"/>
    <x v="0"/>
    <m/>
    <x v="24"/>
    <n v="10"/>
    <n v="1"/>
    <n v="1"/>
    <n v="8"/>
  </r>
  <r>
    <x v="3"/>
    <x v="0"/>
    <m/>
    <x v="25"/>
    <n v="12"/>
    <n v="0"/>
    <n v="0"/>
    <n v="12"/>
  </r>
  <r>
    <x v="3"/>
    <x v="0"/>
    <m/>
    <x v="26"/>
    <n v="48"/>
    <n v="4"/>
    <n v="9"/>
    <n v="35"/>
  </r>
  <r>
    <x v="3"/>
    <x v="0"/>
    <m/>
    <x v="27"/>
    <n v="78"/>
    <n v="6"/>
    <n v="14"/>
    <n v="58"/>
  </r>
  <r>
    <x v="3"/>
    <x v="0"/>
    <m/>
    <x v="28"/>
    <n v="11"/>
    <n v="1"/>
    <n v="2"/>
    <n v="8"/>
  </r>
  <r>
    <x v="3"/>
    <x v="0"/>
    <m/>
    <x v="29"/>
    <n v="25"/>
    <n v="3"/>
    <n v="5"/>
    <n v="17"/>
  </r>
  <r>
    <x v="3"/>
    <x v="0"/>
    <m/>
    <x v="30"/>
    <n v="0"/>
    <n v="0"/>
    <n v="0"/>
    <n v="0"/>
  </r>
  <r>
    <x v="3"/>
    <x v="0"/>
    <m/>
    <x v="31"/>
    <n v="0"/>
    <n v="0"/>
    <n v="0"/>
    <n v="0"/>
  </r>
  <r>
    <x v="3"/>
    <x v="0"/>
    <m/>
    <x v="32"/>
    <n v="93"/>
    <n v="9"/>
    <n v="18"/>
    <n v="66"/>
  </r>
  <r>
    <x v="4"/>
    <x v="0"/>
    <m/>
    <x v="0"/>
    <n v="2545"/>
    <n v="246"/>
    <n v="477"/>
    <n v="1822"/>
  </r>
  <r>
    <x v="4"/>
    <x v="0"/>
    <m/>
    <x v="1"/>
    <n v="17"/>
    <n v="2"/>
    <n v="2"/>
    <n v="13"/>
  </r>
  <r>
    <x v="4"/>
    <x v="0"/>
    <m/>
    <x v="2"/>
    <n v="167"/>
    <n v="14"/>
    <n v="31"/>
    <n v="122"/>
  </r>
  <r>
    <x v="4"/>
    <x v="0"/>
    <m/>
    <x v="3"/>
    <n v="69"/>
    <n v="6"/>
    <n v="7"/>
    <n v="56"/>
  </r>
  <r>
    <x v="4"/>
    <x v="0"/>
    <m/>
    <x v="4"/>
    <n v="47"/>
    <n v="5"/>
    <n v="9"/>
    <n v="34"/>
  </r>
  <r>
    <x v="4"/>
    <x v="0"/>
    <m/>
    <x v="6"/>
    <n v="125"/>
    <n v="13"/>
    <n v="24"/>
    <n v="88"/>
  </r>
  <r>
    <x v="4"/>
    <x v="0"/>
    <m/>
    <x v="7"/>
    <n v="41"/>
    <n v="4"/>
    <n v="8"/>
    <n v="28"/>
  </r>
  <r>
    <x v="4"/>
    <x v="0"/>
    <m/>
    <x v="8"/>
    <n v="494"/>
    <n v="53"/>
    <n v="101"/>
    <n v="340"/>
  </r>
  <r>
    <x v="4"/>
    <x v="0"/>
    <m/>
    <x v="9"/>
    <n v="34"/>
    <n v="3"/>
    <n v="5"/>
    <n v="26"/>
  </r>
  <r>
    <x v="4"/>
    <x v="0"/>
    <m/>
    <x v="10"/>
    <n v="10"/>
    <n v="1"/>
    <n v="2"/>
    <n v="7"/>
  </r>
  <r>
    <x v="4"/>
    <x v="0"/>
    <m/>
    <x v="11"/>
    <n v="111"/>
    <n v="11"/>
    <n v="24"/>
    <n v="76"/>
  </r>
  <r>
    <x v="4"/>
    <x v="0"/>
    <m/>
    <x v="12"/>
    <n v="92"/>
    <n v="10"/>
    <n v="9"/>
    <n v="73"/>
  </r>
  <r>
    <x v="4"/>
    <x v="0"/>
    <m/>
    <x v="13"/>
    <n v="98"/>
    <n v="9"/>
    <n v="22"/>
    <n v="68"/>
  </r>
  <r>
    <x v="4"/>
    <x v="0"/>
    <m/>
    <x v="14"/>
    <n v="110"/>
    <n v="8"/>
    <n v="22"/>
    <n v="80"/>
  </r>
  <r>
    <x v="4"/>
    <x v="0"/>
    <m/>
    <x v="15"/>
    <n v="118"/>
    <n v="12"/>
    <n v="24"/>
    <n v="82"/>
  </r>
  <r>
    <x v="4"/>
    <x v="0"/>
    <m/>
    <x v="16"/>
    <n v="110"/>
    <n v="11"/>
    <n v="23"/>
    <n v="76"/>
  </r>
  <r>
    <x v="4"/>
    <x v="0"/>
    <m/>
    <x v="17"/>
    <n v="44"/>
    <n v="5"/>
    <n v="5"/>
    <n v="34"/>
  </r>
  <r>
    <x v="4"/>
    <x v="0"/>
    <m/>
    <x v="18"/>
    <n v="66"/>
    <n v="9"/>
    <n v="7"/>
    <n v="50"/>
  </r>
  <r>
    <x v="4"/>
    <x v="0"/>
    <m/>
    <x v="19"/>
    <n v="65"/>
    <n v="8"/>
    <n v="14"/>
    <n v="44"/>
  </r>
  <r>
    <x v="4"/>
    <x v="0"/>
    <m/>
    <x v="20"/>
    <n v="6"/>
    <n v="1"/>
    <n v="1"/>
    <n v="4"/>
  </r>
  <r>
    <x v="4"/>
    <x v="0"/>
    <m/>
    <x v="21"/>
    <n v="248"/>
    <n v="23"/>
    <n v="63"/>
    <n v="162"/>
  </r>
  <r>
    <x v="4"/>
    <x v="0"/>
    <m/>
    <x v="22"/>
    <n v="166"/>
    <n v="14"/>
    <n v="24"/>
    <n v="128"/>
  </r>
  <r>
    <x v="4"/>
    <x v="0"/>
    <m/>
    <x v="23"/>
    <n v="8"/>
    <n v="1"/>
    <n v="1"/>
    <n v="6"/>
  </r>
  <r>
    <x v="4"/>
    <x v="0"/>
    <m/>
    <x v="24"/>
    <n v="13"/>
    <n v="1"/>
    <n v="2"/>
    <n v="10"/>
  </r>
  <r>
    <x v="4"/>
    <x v="0"/>
    <m/>
    <x v="25"/>
    <n v="16"/>
    <n v="2"/>
    <n v="2"/>
    <n v="12"/>
  </r>
  <r>
    <x v="4"/>
    <x v="0"/>
    <m/>
    <x v="26"/>
    <n v="49"/>
    <n v="4"/>
    <n v="9"/>
    <n v="36"/>
  </r>
  <r>
    <x v="4"/>
    <x v="0"/>
    <m/>
    <x v="27"/>
    <n v="80"/>
    <n v="6"/>
    <n v="14"/>
    <n v="60"/>
  </r>
  <r>
    <x v="4"/>
    <x v="0"/>
    <m/>
    <x v="28"/>
    <n v="12"/>
    <n v="1"/>
    <n v="2"/>
    <n v="9"/>
  </r>
  <r>
    <x v="4"/>
    <x v="0"/>
    <m/>
    <x v="29"/>
    <n v="28"/>
    <n v="2"/>
    <n v="5"/>
    <n v="21"/>
  </r>
  <r>
    <x v="4"/>
    <x v="0"/>
    <m/>
    <x v="32"/>
    <n v="101"/>
    <n v="9"/>
    <n v="18"/>
    <n v="75"/>
  </r>
  <r>
    <x v="5"/>
    <x v="0"/>
    <m/>
    <x v="0"/>
    <n v="2611"/>
    <n v="268"/>
    <n v="479"/>
    <n v="1864"/>
  </r>
  <r>
    <x v="5"/>
    <x v="0"/>
    <m/>
    <x v="1"/>
    <n v="15"/>
    <n v="1"/>
    <n v="3"/>
    <n v="11"/>
  </r>
  <r>
    <x v="5"/>
    <x v="0"/>
    <m/>
    <x v="2"/>
    <n v="174"/>
    <n v="16"/>
    <n v="31"/>
    <n v="127"/>
  </r>
  <r>
    <x v="5"/>
    <x v="0"/>
    <m/>
    <x v="3"/>
    <n v="62"/>
    <n v="4"/>
    <n v="8"/>
    <n v="49"/>
  </r>
  <r>
    <x v="5"/>
    <x v="0"/>
    <m/>
    <x v="4"/>
    <n v="52"/>
    <n v="5"/>
    <n v="10"/>
    <n v="36"/>
  </r>
  <r>
    <x v="5"/>
    <x v="0"/>
    <m/>
    <x v="6"/>
    <n v="128"/>
    <n v="14"/>
    <n v="24"/>
    <n v="90"/>
  </r>
  <r>
    <x v="5"/>
    <x v="0"/>
    <m/>
    <x v="7"/>
    <n v="41"/>
    <n v="4"/>
    <n v="8"/>
    <n v="29"/>
  </r>
  <r>
    <x v="5"/>
    <x v="0"/>
    <m/>
    <x v="8"/>
    <n v="516"/>
    <n v="66"/>
    <n v="96"/>
    <n v="353"/>
  </r>
  <r>
    <x v="5"/>
    <x v="0"/>
    <m/>
    <x v="9"/>
    <n v="36"/>
    <n v="3"/>
    <n v="5"/>
    <n v="29"/>
  </r>
  <r>
    <x v="5"/>
    <x v="0"/>
    <m/>
    <x v="10"/>
    <n v="11"/>
    <n v="1"/>
    <n v="2"/>
    <n v="8"/>
  </r>
  <r>
    <x v="5"/>
    <x v="0"/>
    <m/>
    <x v="11"/>
    <n v="110"/>
    <n v="11"/>
    <n v="24"/>
    <n v="75"/>
  </r>
  <r>
    <x v="5"/>
    <x v="0"/>
    <m/>
    <x v="12"/>
    <n v="92"/>
    <n v="12"/>
    <n v="10"/>
    <n v="70"/>
  </r>
  <r>
    <x v="5"/>
    <x v="0"/>
    <m/>
    <x v="13"/>
    <n v="108"/>
    <n v="10"/>
    <n v="23"/>
    <n v="75"/>
  </r>
  <r>
    <x v="5"/>
    <x v="0"/>
    <m/>
    <x v="14"/>
    <n v="113"/>
    <n v="10"/>
    <n v="20"/>
    <n v="82"/>
  </r>
  <r>
    <x v="5"/>
    <x v="0"/>
    <m/>
    <x v="15"/>
    <n v="119"/>
    <n v="12"/>
    <n v="25"/>
    <n v="82"/>
  </r>
  <r>
    <x v="5"/>
    <x v="0"/>
    <m/>
    <x v="16"/>
    <n v="119"/>
    <n v="13"/>
    <n v="24"/>
    <n v="83"/>
  </r>
  <r>
    <x v="5"/>
    <x v="0"/>
    <m/>
    <x v="17"/>
    <n v="51"/>
    <n v="5"/>
    <n v="6"/>
    <n v="40"/>
  </r>
  <r>
    <x v="5"/>
    <x v="0"/>
    <m/>
    <x v="18"/>
    <n v="66"/>
    <n v="8"/>
    <n v="7"/>
    <n v="51"/>
  </r>
  <r>
    <x v="5"/>
    <x v="0"/>
    <m/>
    <x v="19"/>
    <n v="68"/>
    <n v="8"/>
    <n v="14"/>
    <n v="45"/>
  </r>
  <r>
    <x v="5"/>
    <x v="0"/>
    <m/>
    <x v="20"/>
    <n v="7"/>
    <n v="1"/>
    <n v="2"/>
    <n v="3"/>
  </r>
  <r>
    <x v="5"/>
    <x v="0"/>
    <m/>
    <x v="21"/>
    <n v="256"/>
    <n v="24"/>
    <n v="62"/>
    <n v="170"/>
  </r>
  <r>
    <x v="5"/>
    <x v="0"/>
    <m/>
    <x v="22"/>
    <n v="165"/>
    <n v="14"/>
    <n v="23"/>
    <n v="128"/>
  </r>
  <r>
    <x v="5"/>
    <x v="0"/>
    <m/>
    <x v="23"/>
    <n v="6"/>
    <m/>
    <n v="1"/>
    <n v="4"/>
  </r>
  <r>
    <x v="5"/>
    <x v="0"/>
    <m/>
    <x v="24"/>
    <n v="12"/>
    <n v="1"/>
    <n v="2"/>
    <n v="10"/>
  </r>
  <r>
    <x v="5"/>
    <x v="0"/>
    <m/>
    <x v="25"/>
    <n v="18"/>
    <n v="2"/>
    <n v="2"/>
    <n v="14"/>
  </r>
  <r>
    <x v="5"/>
    <x v="0"/>
    <m/>
    <x v="26"/>
    <n v="45"/>
    <n v="4"/>
    <n v="9"/>
    <n v="33"/>
  </r>
  <r>
    <x v="5"/>
    <x v="0"/>
    <m/>
    <x v="27"/>
    <n v="84"/>
    <n v="6"/>
    <n v="12"/>
    <n v="66"/>
  </r>
  <r>
    <x v="5"/>
    <x v="0"/>
    <m/>
    <x v="28"/>
    <n v="10"/>
    <n v="1"/>
    <n v="2"/>
    <n v="8"/>
  </r>
  <r>
    <x v="5"/>
    <x v="0"/>
    <m/>
    <x v="29"/>
    <n v="26"/>
    <n v="2"/>
    <n v="5"/>
    <n v="18"/>
  </r>
  <r>
    <x v="5"/>
    <x v="0"/>
    <m/>
    <x v="32"/>
    <n v="102"/>
    <n v="10"/>
    <n v="18"/>
    <n v="75"/>
  </r>
</pivotCacheRecords>
</file>

<file path=xl/pivotCache/pivotCacheRecords32.xml><?xml version="1.0" encoding="utf-8"?>
<pivotCacheRecords xmlns="http://schemas.openxmlformats.org/spreadsheetml/2006/main" xmlns:r="http://schemas.openxmlformats.org/officeDocument/2006/relationships" count="6">
  <r>
    <x v="0"/>
    <x v="0"/>
    <x v="0"/>
    <s v="S92000003"/>
    <n v="212.96"/>
    <m/>
    <n v="5"/>
    <n v="11"/>
    <n v="51.56"/>
    <n v="51.01"/>
    <n v="94.39"/>
  </r>
  <r>
    <x v="1"/>
    <x v="0"/>
    <x v="0"/>
    <s v="S92000003"/>
    <n v="220.79"/>
    <m/>
    <n v="5"/>
    <n v="12.85"/>
    <n v="49.46"/>
    <n v="50.79"/>
    <n v="102.69"/>
  </r>
  <r>
    <x v="2"/>
    <x v="0"/>
    <x v="0"/>
    <s v="S92000003"/>
    <n v="195.16952380952381"/>
    <m/>
    <n v="6"/>
    <n v="6.8333333333333339"/>
    <n v="50.314285714285717"/>
    <n v="43"/>
    <n v="89.021904761904764"/>
  </r>
  <r>
    <x v="3"/>
    <x v="0"/>
    <x v="0"/>
    <s v="S92000003"/>
    <n v="160"/>
    <m/>
    <n v="5"/>
    <n v="8"/>
    <n v="40"/>
    <n v="30"/>
    <n v="76"/>
  </r>
  <r>
    <x v="4"/>
    <x v="0"/>
    <x v="0"/>
    <s v="S92000003"/>
    <n v="184"/>
    <m/>
    <n v="5"/>
    <n v="8"/>
    <n v="43"/>
    <n v="27"/>
    <n v="101"/>
  </r>
  <r>
    <x v="5"/>
    <x v="0"/>
    <x v="0"/>
    <s v="S92000003"/>
    <n v="202"/>
    <n v="1"/>
    <n v="4"/>
    <n v="9"/>
    <n v="42"/>
    <n v="27"/>
    <n v="119"/>
  </r>
</pivotCacheRecords>
</file>

<file path=xl/pivotCache/pivotCacheRecords33.xml><?xml version="1.0" encoding="utf-8"?>
<pivotCacheRecords xmlns="http://schemas.openxmlformats.org/spreadsheetml/2006/main" xmlns:r="http://schemas.openxmlformats.org/officeDocument/2006/relationships" count="36">
  <r>
    <x v="0"/>
    <x v="0"/>
    <m/>
    <x v="0"/>
    <n v="584"/>
    <m/>
    <n v="14"/>
    <n v="10.8"/>
    <n v="20.8"/>
    <n v="204.10000000000002"/>
    <n v="153.1"/>
    <n v="181.2"/>
  </r>
  <r>
    <x v="0"/>
    <x v="0"/>
    <m/>
    <x v="1"/>
    <n v="325.2"/>
    <m/>
    <n v="4"/>
    <n v="4"/>
    <n v="8"/>
    <n v="102.4"/>
    <n v="100.5"/>
    <n v="106.3"/>
  </r>
  <r>
    <x v="0"/>
    <x v="0"/>
    <m/>
    <x v="2"/>
    <n v="137.1"/>
    <m/>
    <n v="6"/>
    <n v="2"/>
    <n v="7"/>
    <n v="44.7"/>
    <n v="36.700000000000003"/>
    <n v="40.699999999999996"/>
  </r>
  <r>
    <x v="0"/>
    <x v="0"/>
    <m/>
    <x v="3"/>
    <n v="121.7"/>
    <m/>
    <n v="4"/>
    <n v="4.8"/>
    <n v="5.8"/>
    <n v="57"/>
    <n v="15.899999999999999"/>
    <n v="34.200000000000003"/>
  </r>
  <r>
    <x v="0"/>
    <x v="1"/>
    <m/>
    <x v="4"/>
    <n v="227.3"/>
    <m/>
    <n v="55.7"/>
    <n v="9"/>
    <n v="21.5"/>
    <n v="52.3"/>
    <n v="46.4"/>
    <n v="42.4"/>
  </r>
  <r>
    <x v="0"/>
    <x v="2"/>
    <m/>
    <x v="4"/>
    <n v="811.3"/>
    <m/>
    <n v="69.7"/>
    <n v="19.8"/>
    <n v="42.3"/>
    <n v="256.40000000000003"/>
    <n v="199.5"/>
    <n v="223.6"/>
  </r>
  <r>
    <x v="1"/>
    <x v="0"/>
    <m/>
    <x v="0"/>
    <n v="520.51"/>
    <m/>
    <n v="9"/>
    <n v="23"/>
    <n v="30.189999999999998"/>
    <n v="217.87"/>
    <n v="126.97999999999996"/>
    <n v="113.47000000000003"/>
  </r>
  <r>
    <x v="1"/>
    <x v="0"/>
    <m/>
    <x v="1"/>
    <n v="276.51"/>
    <m/>
    <n v="3"/>
    <n v="9"/>
    <n v="13.36"/>
    <n v="108.52999999999999"/>
    <n v="75.46999999999997"/>
    <n v="67.15000000000002"/>
  </r>
  <r>
    <x v="1"/>
    <x v="0"/>
    <m/>
    <x v="2"/>
    <n v="128.35"/>
    <m/>
    <n v="3"/>
    <n v="7"/>
    <n v="11"/>
    <n v="46.7"/>
    <n v="36.069999999999986"/>
    <n v="24.580000000000005"/>
  </r>
  <r>
    <x v="1"/>
    <x v="0"/>
    <m/>
    <x v="3"/>
    <n v="115.65"/>
    <m/>
    <n v="3"/>
    <n v="7"/>
    <n v="5.83"/>
    <n v="62.64"/>
    <n v="15.44"/>
    <n v="21.74"/>
  </r>
  <r>
    <x v="1"/>
    <x v="1"/>
    <m/>
    <x v="4"/>
    <n v="223.45000000000002"/>
    <n v="2"/>
    <n v="34.99"/>
    <n v="12.9"/>
    <n v="25.28"/>
    <n v="109.36000000000001"/>
    <n v="0"/>
    <n v="38.92"/>
  </r>
  <r>
    <x v="1"/>
    <x v="2"/>
    <m/>
    <x v="4"/>
    <n v="743.95999999999992"/>
    <n v="2"/>
    <n v="43.99"/>
    <n v="35.9"/>
    <n v="55.47"/>
    <n v="327.22999999999996"/>
    <n v="126.98"/>
    <n v="152.39000000000001"/>
  </r>
  <r>
    <x v="2"/>
    <x v="0"/>
    <m/>
    <x v="0"/>
    <n v="426.39114285714288"/>
    <m/>
    <n v="8"/>
    <n v="21.6"/>
    <n v="36.428571428571431"/>
    <n v="190.97"/>
    <n v="109.34542857142856"/>
    <n v="60.047142857142852"/>
  </r>
  <r>
    <x v="2"/>
    <x v="0"/>
    <m/>
    <x v="1"/>
    <n v="219.71714285714287"/>
    <m/>
    <n v="2"/>
    <n v="9.6"/>
    <n v="14.685714285714285"/>
    <n v="97.048571428571421"/>
    <n v="61.014285714285712"/>
    <n v="35.368571428571428"/>
  </r>
  <r>
    <x v="2"/>
    <x v="0"/>
    <m/>
    <x v="2"/>
    <n v="95.721428571428561"/>
    <m/>
    <n v="3"/>
    <n v="5"/>
    <n v="11.528571428571428"/>
    <n v="33.935714285714283"/>
    <n v="32.164285714285711"/>
    <n v="10.092857142857142"/>
  </r>
  <r>
    <x v="2"/>
    <x v="0"/>
    <m/>
    <x v="3"/>
    <n v="110.95257142857143"/>
    <m/>
    <n v="3"/>
    <n v="7"/>
    <n v="10.214285714285715"/>
    <n v="59.985714285714288"/>
    <n v="16.166857142857143"/>
    <n v="14.585714285714284"/>
  </r>
  <r>
    <x v="2"/>
    <x v="1"/>
    <m/>
    <x v="4"/>
    <n v="276.74971428571428"/>
    <n v="3"/>
    <n v="32"/>
    <n v="11.709428571428571"/>
    <n v="34.285714285714285"/>
    <n v="106.63857142857142"/>
    <n v="3.8905714285714286"/>
    <n v="85"/>
  </r>
  <r>
    <x v="2"/>
    <x v="2"/>
    <m/>
    <x v="4"/>
    <n v="718.56228571428574"/>
    <n v="3"/>
    <n v="40"/>
    <n v="33.309428571428569"/>
    <n v="70.714285714285722"/>
    <n v="303.60857142857139"/>
    <n v="122.20028571428574"/>
    <n v="146"/>
  </r>
  <r>
    <x v="3"/>
    <x v="0"/>
    <m/>
    <x v="0"/>
    <n v="486"/>
    <m/>
    <n v="8"/>
    <n v="21"/>
    <n v="37"/>
    <n v="231"/>
    <n v="104"/>
    <n v="81"/>
  </r>
  <r>
    <x v="3"/>
    <x v="0"/>
    <m/>
    <x v="1"/>
    <n v="248"/>
    <m/>
    <n v="2"/>
    <n v="9"/>
    <n v="14"/>
    <n v="114"/>
    <n v="64"/>
    <n v="43"/>
  </r>
  <r>
    <x v="3"/>
    <x v="0"/>
    <m/>
    <x v="2"/>
    <n v="113"/>
    <m/>
    <n v="3"/>
    <n v="5"/>
    <n v="12"/>
    <n v="47"/>
    <n v="29"/>
    <n v="16"/>
  </r>
  <r>
    <x v="3"/>
    <x v="0"/>
    <m/>
    <x v="3"/>
    <n v="124"/>
    <m/>
    <n v="3"/>
    <n v="7"/>
    <n v="11"/>
    <n v="70"/>
    <n v="11"/>
    <n v="21"/>
  </r>
  <r>
    <x v="3"/>
    <x v="1"/>
    <m/>
    <x v="4"/>
    <n v="250"/>
    <n v="3"/>
    <n v="34"/>
    <n v="12"/>
    <n v="36"/>
    <n v="100"/>
    <n v="5"/>
    <n v="58"/>
  </r>
  <r>
    <x v="3"/>
    <x v="2"/>
    <m/>
    <x v="4"/>
    <n v="745"/>
    <n v="3"/>
    <n v="42"/>
    <n v="33"/>
    <n v="74"/>
    <n v="334"/>
    <n v="115"/>
    <n v="140"/>
  </r>
  <r>
    <x v="4"/>
    <x v="0"/>
    <m/>
    <x v="0"/>
    <n v="499"/>
    <m/>
    <n v="8"/>
    <n v="20"/>
    <n v="35"/>
    <n v="250"/>
    <n v="106"/>
    <n v="79"/>
  </r>
  <r>
    <x v="4"/>
    <x v="0"/>
    <m/>
    <x v="1"/>
    <n v="260"/>
    <m/>
    <n v="2"/>
    <n v="9"/>
    <n v="15"/>
    <n v="128"/>
    <n v="63"/>
    <n v="43"/>
  </r>
  <r>
    <x v="4"/>
    <x v="0"/>
    <m/>
    <x v="2"/>
    <n v="105"/>
    <m/>
    <n v="3"/>
    <n v="3"/>
    <n v="10"/>
    <n v="44"/>
    <n v="30"/>
    <n v="16"/>
  </r>
  <r>
    <x v="4"/>
    <x v="0"/>
    <m/>
    <x v="3"/>
    <n v="133"/>
    <m/>
    <n v="3"/>
    <n v="8"/>
    <n v="10"/>
    <n v="78"/>
    <n v="13"/>
    <n v="20"/>
  </r>
  <r>
    <x v="4"/>
    <x v="1"/>
    <m/>
    <x v="4"/>
    <n v="260"/>
    <n v="2"/>
    <n v="42"/>
    <n v="11"/>
    <n v="40"/>
    <n v="105"/>
    <n v="4"/>
    <n v="56"/>
  </r>
  <r>
    <x v="4"/>
    <x v="2"/>
    <m/>
    <x v="4"/>
    <n v="759"/>
    <n v="2"/>
    <n v="50"/>
    <n v="31"/>
    <n v="76"/>
    <n v="355"/>
    <n v="110"/>
    <n v="135"/>
  </r>
  <r>
    <x v="5"/>
    <x v="0"/>
    <m/>
    <x v="0"/>
    <n v="455"/>
    <m/>
    <n v="7"/>
    <n v="22"/>
    <n v="34"/>
    <n v="250"/>
    <n v="58"/>
    <n v="83"/>
  </r>
  <r>
    <x v="5"/>
    <x v="0"/>
    <m/>
    <x v="1"/>
    <n v="225"/>
    <m/>
    <n v="2"/>
    <n v="9"/>
    <n v="15"/>
    <n v="128"/>
    <n v="25"/>
    <n v="46"/>
  </r>
  <r>
    <x v="5"/>
    <x v="0"/>
    <m/>
    <x v="2"/>
    <n v="97"/>
    <m/>
    <n v="2"/>
    <n v="4"/>
    <n v="10"/>
    <n v="48"/>
    <n v="16"/>
    <n v="17"/>
  </r>
  <r>
    <x v="5"/>
    <x v="0"/>
    <m/>
    <x v="3"/>
    <n v="133"/>
    <m/>
    <n v="3"/>
    <n v="9"/>
    <n v="10"/>
    <n v="74"/>
    <n v="16"/>
    <n v="20"/>
  </r>
  <r>
    <x v="5"/>
    <x v="1"/>
    <m/>
    <x v="4"/>
    <n v="291"/>
    <n v="3"/>
    <n v="42"/>
    <n v="12"/>
    <n v="46"/>
    <n v="125"/>
    <n v="1"/>
    <n v="62"/>
  </r>
  <r>
    <x v="5"/>
    <x v="2"/>
    <m/>
    <x v="4"/>
    <n v="746"/>
    <n v="3"/>
    <n v="49"/>
    <n v="34"/>
    <n v="80"/>
    <n v="376"/>
    <n v="59"/>
    <n v="145"/>
  </r>
</pivotCacheRecords>
</file>

<file path=xl/pivotCache/pivotCacheRecords4.xml><?xml version="1.0" encoding="utf-8"?>
<pivotCacheRecords xmlns="http://schemas.openxmlformats.org/spreadsheetml/2006/main" xmlns:r="http://schemas.openxmlformats.org/officeDocument/2006/relationships" count="13">
  <r>
    <x v="0"/>
    <x v="0"/>
    <x v="0"/>
    <n v="49"/>
    <n v="8"/>
    <n v="37"/>
    <n v="15"/>
    <n v="109"/>
  </r>
  <r>
    <x v="0"/>
    <x v="0"/>
    <x v="1"/>
    <n v="43"/>
    <n v="5"/>
    <n v="29"/>
    <n v="4"/>
    <n v="81"/>
  </r>
  <r>
    <x v="0"/>
    <x v="0"/>
    <x v="2"/>
    <n v="38"/>
    <n v="3"/>
    <n v="20"/>
    <n v="8"/>
    <n v="69"/>
  </r>
  <r>
    <x v="0"/>
    <x v="0"/>
    <x v="3"/>
    <n v="31"/>
    <n v="6"/>
    <n v="30"/>
    <n v="8"/>
    <n v="75"/>
  </r>
  <r>
    <x v="0"/>
    <x v="1"/>
    <x v="4"/>
    <n v="3"/>
    <m/>
    <n v="6"/>
    <m/>
    <n v="9"/>
  </r>
  <r>
    <x v="0"/>
    <x v="0"/>
    <x v="4"/>
    <n v="39"/>
    <n v="13"/>
    <n v="37"/>
    <n v="1"/>
    <n v="90"/>
  </r>
  <r>
    <x v="0"/>
    <x v="1"/>
    <x v="5"/>
    <n v="2"/>
    <m/>
    <n v="3"/>
    <m/>
    <n v="5"/>
  </r>
  <r>
    <x v="0"/>
    <x v="0"/>
    <x v="5"/>
    <n v="44"/>
    <n v="10"/>
    <n v="22"/>
    <n v="2"/>
    <n v="78"/>
  </r>
  <r>
    <x v="0"/>
    <x v="1"/>
    <x v="6"/>
    <n v="3"/>
    <n v="2"/>
    <n v="3"/>
    <m/>
    <n v="8"/>
  </r>
  <r>
    <x v="0"/>
    <x v="0"/>
    <x v="6"/>
    <n v="32"/>
    <n v="9"/>
    <n v="12"/>
    <m/>
    <n v="53"/>
  </r>
  <r>
    <x v="0"/>
    <x v="1"/>
    <x v="7"/>
    <n v="2"/>
    <n v="2"/>
    <n v="6"/>
    <n v="1"/>
    <n v="11"/>
  </r>
  <r>
    <x v="0"/>
    <x v="0"/>
    <x v="7"/>
    <n v="48"/>
    <n v="8"/>
    <n v="15"/>
    <n v="1"/>
    <n v="72"/>
  </r>
  <r>
    <x v="1"/>
    <x v="2"/>
    <x v="8"/>
    <m/>
    <m/>
    <m/>
    <m/>
    <m/>
  </r>
</pivotCacheRecords>
</file>

<file path=xl/pivotCache/pivotCacheRecords5.xml><?xml version="1.0" encoding="utf-8"?>
<pivotCacheRecords xmlns="http://schemas.openxmlformats.org/spreadsheetml/2006/main" xmlns:r="http://schemas.openxmlformats.org/officeDocument/2006/relationships" count="24">
  <r>
    <x v="0"/>
    <x v="0"/>
    <n v="6691"/>
    <m/>
    <n v="2940"/>
    <m/>
    <n v="359"/>
    <n v="3392"/>
  </r>
  <r>
    <x v="0"/>
    <x v="1"/>
    <n v="285"/>
    <m/>
    <m/>
    <m/>
    <m/>
    <n v="285"/>
  </r>
  <r>
    <x v="0"/>
    <x v="2"/>
    <n v="992"/>
    <m/>
    <m/>
    <n v="724"/>
    <m/>
    <n v="268"/>
  </r>
  <r>
    <x v="0"/>
    <x v="3"/>
    <n v="516"/>
    <n v="223"/>
    <m/>
    <n v="237"/>
    <m/>
    <n v="56"/>
  </r>
  <r>
    <x v="1"/>
    <x v="0"/>
    <n v="6613"/>
    <m/>
    <n v="2950"/>
    <m/>
    <n v="378"/>
    <n v="3285"/>
  </r>
  <r>
    <x v="1"/>
    <x v="1"/>
    <n v="270"/>
    <m/>
    <m/>
    <m/>
    <m/>
    <n v="270"/>
  </r>
  <r>
    <x v="1"/>
    <x v="2"/>
    <n v="880"/>
    <m/>
    <m/>
    <n v="629"/>
    <m/>
    <n v="251"/>
  </r>
  <r>
    <x v="1"/>
    <x v="3"/>
    <n v="518"/>
    <n v="230"/>
    <m/>
    <n v="238"/>
    <m/>
    <n v="50"/>
  </r>
  <r>
    <x v="2"/>
    <x v="0"/>
    <n v="6237"/>
    <m/>
    <n v="2870"/>
    <m/>
    <n v="342"/>
    <n v="3025"/>
  </r>
  <r>
    <x v="2"/>
    <x v="1"/>
    <n v="385"/>
    <m/>
    <m/>
    <m/>
    <m/>
    <n v="385"/>
  </r>
  <r>
    <x v="2"/>
    <x v="2"/>
    <n v="616"/>
    <m/>
    <m/>
    <n v="531"/>
    <m/>
    <n v="85"/>
  </r>
  <r>
    <x v="2"/>
    <x v="3"/>
    <n v="695"/>
    <n v="203"/>
    <m/>
    <n v="297"/>
    <m/>
    <n v="195"/>
  </r>
  <r>
    <x v="3"/>
    <x v="0"/>
    <n v="6109"/>
    <m/>
    <n v="2870"/>
    <m/>
    <n v="316"/>
    <n v="2923"/>
  </r>
  <r>
    <x v="3"/>
    <x v="1"/>
    <n v="389"/>
    <m/>
    <m/>
    <m/>
    <m/>
    <n v="389"/>
  </r>
  <r>
    <x v="3"/>
    <x v="2"/>
    <n v="722"/>
    <m/>
    <m/>
    <n v="571"/>
    <m/>
    <n v="151"/>
  </r>
  <r>
    <x v="3"/>
    <x v="3"/>
    <n v="614"/>
    <n v="165"/>
    <m/>
    <n v="267"/>
    <m/>
    <n v="182"/>
  </r>
  <r>
    <x v="4"/>
    <x v="0"/>
    <n v="6063"/>
    <m/>
    <n v="2863"/>
    <m/>
    <n v="332"/>
    <n v="2868"/>
  </r>
  <r>
    <x v="4"/>
    <x v="1"/>
    <n v="379"/>
    <m/>
    <m/>
    <m/>
    <m/>
    <n v="379"/>
  </r>
  <r>
    <x v="4"/>
    <x v="2"/>
    <n v="725"/>
    <m/>
    <m/>
    <n v="569"/>
    <m/>
    <n v="156"/>
  </r>
  <r>
    <x v="4"/>
    <x v="3"/>
    <n v="609"/>
    <n v="189"/>
    <m/>
    <n v="277"/>
    <m/>
    <n v="143"/>
  </r>
  <r>
    <x v="5"/>
    <x v="0"/>
    <n v="6224"/>
    <m/>
    <n v="2953"/>
    <m/>
    <n v="317"/>
    <n v="2954"/>
  </r>
  <r>
    <x v="5"/>
    <x v="1"/>
    <n v="388"/>
    <m/>
    <m/>
    <m/>
    <m/>
    <n v="388"/>
  </r>
  <r>
    <x v="5"/>
    <x v="2"/>
    <n v="635"/>
    <m/>
    <m/>
    <n v="489"/>
    <m/>
    <n v="146"/>
  </r>
  <r>
    <x v="5"/>
    <x v="3"/>
    <n v="659"/>
    <n v="207"/>
    <m/>
    <n v="303"/>
    <m/>
    <n v="149"/>
  </r>
</pivotCacheRecords>
</file>

<file path=xl/pivotCache/pivotCacheRecords6.xml><?xml version="1.0" encoding="utf-8"?>
<pivotCacheRecords xmlns="http://schemas.openxmlformats.org/spreadsheetml/2006/main" xmlns:r="http://schemas.openxmlformats.org/officeDocument/2006/relationships" count="24">
  <r>
    <x v="0"/>
    <x v="0"/>
    <n v="3392"/>
    <m/>
    <m/>
    <n v="608"/>
    <n v="2355"/>
    <m/>
    <n v="13"/>
    <n v="416"/>
  </r>
  <r>
    <x v="0"/>
    <x v="1"/>
    <n v="285"/>
    <n v="17"/>
    <m/>
    <n v="5"/>
    <n v="15"/>
    <n v="69"/>
    <n v="85"/>
    <n v="94"/>
  </r>
  <r>
    <x v="0"/>
    <x v="2"/>
    <n v="268"/>
    <n v="6"/>
    <n v="3"/>
    <n v="40"/>
    <n v="4"/>
    <n v="24"/>
    <n v="33"/>
    <n v="158"/>
  </r>
  <r>
    <x v="0"/>
    <x v="3"/>
    <n v="56"/>
    <n v="5"/>
    <n v="6"/>
    <n v="7"/>
    <m/>
    <n v="22"/>
    <n v="5"/>
    <n v="11"/>
  </r>
  <r>
    <x v="1"/>
    <x v="0"/>
    <n v="3285"/>
    <m/>
    <m/>
    <n v="592"/>
    <n v="2263"/>
    <m/>
    <n v="14"/>
    <n v="416"/>
  </r>
  <r>
    <x v="1"/>
    <x v="1"/>
    <n v="270"/>
    <n v="18"/>
    <m/>
    <n v="4"/>
    <n v="14"/>
    <n v="65"/>
    <n v="79"/>
    <n v="90"/>
  </r>
  <r>
    <x v="1"/>
    <x v="2"/>
    <n v="251"/>
    <n v="4"/>
    <m/>
    <n v="34"/>
    <n v="7"/>
    <n v="26"/>
    <n v="31"/>
    <n v="147"/>
  </r>
  <r>
    <x v="1"/>
    <x v="3"/>
    <n v="50"/>
    <n v="11"/>
    <n v="7"/>
    <n v="4"/>
    <n v="1"/>
    <n v="12"/>
    <n v="6"/>
    <n v="11"/>
  </r>
  <r>
    <x v="2"/>
    <x v="0"/>
    <n v="3025"/>
    <m/>
    <m/>
    <n v="511"/>
    <n v="2207"/>
    <m/>
    <n v="2"/>
    <n v="305"/>
  </r>
  <r>
    <x v="2"/>
    <x v="1"/>
    <n v="385"/>
    <n v="14"/>
    <m/>
    <n v="50"/>
    <n v="35"/>
    <n v="62"/>
    <n v="91"/>
    <n v="133"/>
  </r>
  <r>
    <x v="2"/>
    <x v="2"/>
    <n v="85"/>
    <n v="3"/>
    <m/>
    <n v="13"/>
    <m/>
    <n v="9"/>
    <n v="14"/>
    <n v="46"/>
  </r>
  <r>
    <x v="2"/>
    <x v="3"/>
    <n v="195"/>
    <n v="18"/>
    <n v="4"/>
    <n v="26"/>
    <n v="16"/>
    <n v="19"/>
    <n v="19"/>
    <n v="93"/>
  </r>
  <r>
    <x v="3"/>
    <x v="0"/>
    <n v="2923"/>
    <m/>
    <m/>
    <n v="552"/>
    <n v="2027"/>
    <m/>
    <n v="1"/>
    <n v="343"/>
  </r>
  <r>
    <x v="3"/>
    <x v="1"/>
    <n v="389"/>
    <n v="16"/>
    <m/>
    <n v="61"/>
    <n v="30"/>
    <n v="47"/>
    <n v="116"/>
    <n v="119"/>
  </r>
  <r>
    <x v="3"/>
    <x v="2"/>
    <n v="151"/>
    <n v="3"/>
    <m/>
    <n v="22"/>
    <n v="3"/>
    <n v="12"/>
    <n v="25"/>
    <n v="86"/>
  </r>
  <r>
    <x v="3"/>
    <x v="3"/>
    <n v="182"/>
    <n v="15"/>
    <n v="4"/>
    <m/>
    <n v="101"/>
    <n v="11"/>
    <n v="9"/>
    <n v="42"/>
  </r>
  <r>
    <x v="4"/>
    <x v="0"/>
    <n v="2868"/>
    <m/>
    <m/>
    <n v="588"/>
    <n v="1905"/>
    <m/>
    <m/>
    <n v="375"/>
  </r>
  <r>
    <x v="4"/>
    <x v="1"/>
    <n v="379"/>
    <n v="16"/>
    <m/>
    <n v="63"/>
    <n v="29"/>
    <n v="46"/>
    <n v="115"/>
    <n v="110"/>
  </r>
  <r>
    <x v="4"/>
    <x v="2"/>
    <n v="156"/>
    <n v="3"/>
    <m/>
    <n v="38"/>
    <m/>
    <n v="15"/>
    <n v="29"/>
    <n v="71"/>
  </r>
  <r>
    <x v="4"/>
    <x v="3"/>
    <n v="143"/>
    <n v="15"/>
    <n v="4"/>
    <m/>
    <n v="55"/>
    <n v="13"/>
    <n v="9"/>
    <n v="47"/>
  </r>
  <r>
    <x v="5"/>
    <x v="0"/>
    <n v="2954"/>
    <m/>
    <m/>
    <n v="592"/>
    <n v="1985"/>
    <m/>
    <m/>
    <n v="377"/>
  </r>
  <r>
    <x v="5"/>
    <x v="1"/>
    <n v="388"/>
    <n v="16"/>
    <m/>
    <n v="54"/>
    <n v="30"/>
    <n v="49"/>
    <n v="115"/>
    <n v="124"/>
  </r>
  <r>
    <x v="5"/>
    <x v="2"/>
    <n v="146"/>
    <n v="3"/>
    <m/>
    <n v="41"/>
    <m/>
    <n v="14"/>
    <n v="24"/>
    <n v="64"/>
  </r>
  <r>
    <x v="5"/>
    <x v="3"/>
    <n v="149"/>
    <n v="14"/>
    <n v="4"/>
    <m/>
    <n v="60"/>
    <n v="17"/>
    <n v="8"/>
    <n v="46"/>
  </r>
</pivotCacheRecords>
</file>

<file path=xl/pivotCache/pivotCacheRecords7.xml><?xml version="1.0" encoding="utf-8"?>
<pivotCacheRecords xmlns="http://schemas.openxmlformats.org/spreadsheetml/2006/main" xmlns:r="http://schemas.openxmlformats.org/officeDocument/2006/relationships" count="186">
  <r>
    <x v="0"/>
    <x v="0"/>
    <s v="S12000005"/>
    <x v="0"/>
    <n v="21"/>
    <n v="2"/>
    <n v="4"/>
    <n v="15"/>
  </r>
  <r>
    <x v="0"/>
    <x v="0"/>
    <s v="S12000006"/>
    <x v="1"/>
    <n v="198"/>
    <n v="17"/>
    <n v="34"/>
    <n v="147"/>
  </r>
  <r>
    <x v="0"/>
    <x v="0"/>
    <s v="S12000008"/>
    <x v="2"/>
    <n v="77"/>
    <n v="9"/>
    <n v="10"/>
    <n v="58"/>
  </r>
  <r>
    <x v="0"/>
    <x v="0"/>
    <s v="S12000010"/>
    <x v="3"/>
    <n v="52"/>
    <n v="5"/>
    <n v="9"/>
    <n v="38"/>
  </r>
  <r>
    <x v="0"/>
    <x v="0"/>
    <s v="S12000011"/>
    <x v="4"/>
    <n v="0"/>
    <n v="0"/>
    <n v="0"/>
    <n v="0"/>
  </r>
  <r>
    <x v="0"/>
    <x v="0"/>
    <s v="S12000013"/>
    <x v="5"/>
    <n v="132"/>
    <n v="13"/>
    <n v="25"/>
    <n v="94"/>
  </r>
  <r>
    <x v="0"/>
    <x v="0"/>
    <s v="S12000014"/>
    <x v="6"/>
    <n v="65"/>
    <n v="5"/>
    <n v="10"/>
    <n v="50"/>
  </r>
  <r>
    <x v="0"/>
    <x v="0"/>
    <s v="S12000017"/>
    <x v="7"/>
    <n v="564"/>
    <n v="55"/>
    <n v="115"/>
    <n v="394"/>
  </r>
  <r>
    <x v="0"/>
    <x v="0"/>
    <s v="S12000018"/>
    <x v="8"/>
    <n v="42"/>
    <n v="3"/>
    <n v="4"/>
    <n v="35"/>
  </r>
  <r>
    <x v="0"/>
    <x v="0"/>
    <s v="S12000019"/>
    <x v="9"/>
    <n v="10"/>
    <n v="1"/>
    <n v="2"/>
    <n v="7"/>
  </r>
  <r>
    <x v="0"/>
    <x v="0"/>
    <s v="S12000020"/>
    <x v="10"/>
    <n v="104"/>
    <n v="9"/>
    <n v="22"/>
    <n v="73"/>
  </r>
  <r>
    <x v="0"/>
    <x v="0"/>
    <s v="S12000021"/>
    <x v="11"/>
    <n v="94"/>
    <n v="9"/>
    <n v="15"/>
    <n v="70"/>
  </r>
  <r>
    <x v="0"/>
    <x v="0"/>
    <s v="S12000023"/>
    <x v="12"/>
    <n v="113"/>
    <n v="12"/>
    <n v="22"/>
    <n v="79"/>
  </r>
  <r>
    <x v="0"/>
    <x v="0"/>
    <s v="S12000024"/>
    <x v="13"/>
    <n v="140"/>
    <n v="10"/>
    <n v="25"/>
    <n v="105"/>
  </r>
  <r>
    <x v="0"/>
    <x v="0"/>
    <s v="S12000026"/>
    <x v="14"/>
    <n v="134"/>
    <n v="13"/>
    <n v="25"/>
    <n v="96"/>
  </r>
  <r>
    <x v="0"/>
    <x v="0"/>
    <s v="S12000027"/>
    <x v="15"/>
    <n v="134"/>
    <n v="13"/>
    <n v="29"/>
    <n v="92"/>
  </r>
  <r>
    <x v="0"/>
    <x v="0"/>
    <s v="S12000028"/>
    <x v="16"/>
    <n v="54"/>
    <n v="5"/>
    <n v="9"/>
    <n v="40"/>
  </r>
  <r>
    <x v="0"/>
    <x v="0"/>
    <s v="S12000029"/>
    <x v="17"/>
    <n v="84"/>
    <n v="9"/>
    <n v="8"/>
    <n v="67"/>
  </r>
  <r>
    <x v="0"/>
    <x v="0"/>
    <s v="S12000030"/>
    <x v="18"/>
    <n v="74"/>
    <n v="9"/>
    <n v="15"/>
    <n v="50"/>
  </r>
  <r>
    <x v="0"/>
    <x v="0"/>
    <s v="S12000033"/>
    <x v="19"/>
    <n v="8"/>
    <n v="1"/>
    <n v="2"/>
    <n v="5"/>
  </r>
  <r>
    <x v="0"/>
    <x v="0"/>
    <s v="S12000034"/>
    <x v="20"/>
    <n v="297"/>
    <n v="29"/>
    <n v="65"/>
    <n v="203"/>
  </r>
  <r>
    <x v="0"/>
    <x v="0"/>
    <s v="S12000035"/>
    <x v="21"/>
    <n v="187"/>
    <n v="17"/>
    <n v="24"/>
    <n v="146"/>
  </r>
  <r>
    <x v="0"/>
    <x v="0"/>
    <s v="S12000036"/>
    <x v="22"/>
    <n v="12"/>
    <n v="1"/>
    <n v="2"/>
    <n v="9"/>
  </r>
  <r>
    <x v="0"/>
    <x v="0"/>
    <s v="S12000038"/>
    <x v="23"/>
    <n v="14"/>
    <n v="1"/>
    <n v="2"/>
    <n v="11"/>
  </r>
  <r>
    <x v="0"/>
    <x v="0"/>
    <s v="S12000039"/>
    <x v="24"/>
    <n v="18"/>
    <n v="2"/>
    <n v="1"/>
    <n v="15"/>
  </r>
  <r>
    <x v="0"/>
    <x v="0"/>
    <s v="S12000040"/>
    <x v="25"/>
    <n v="58"/>
    <n v="6"/>
    <n v="11"/>
    <n v="41"/>
  </r>
  <r>
    <x v="0"/>
    <x v="0"/>
    <s v="S12000041"/>
    <x v="26"/>
    <n v="99"/>
    <n v="7"/>
    <n v="19"/>
    <n v="73"/>
  </r>
  <r>
    <x v="0"/>
    <x v="0"/>
    <s v="S12000042"/>
    <x v="27"/>
    <n v="14"/>
    <n v="1"/>
    <n v="3"/>
    <n v="10"/>
  </r>
  <r>
    <x v="0"/>
    <x v="0"/>
    <s v="S12000044"/>
    <x v="28"/>
    <n v="28"/>
    <n v="3"/>
    <n v="3"/>
    <n v="22"/>
  </r>
  <r>
    <x v="0"/>
    <x v="0"/>
    <s v="S12000045"/>
    <x v="29"/>
    <n v="0"/>
    <n v="0"/>
    <n v="0"/>
    <n v="0"/>
  </r>
  <r>
    <x v="0"/>
    <x v="0"/>
    <s v="S12000046"/>
    <x v="30"/>
    <n v="2"/>
    <n v="0"/>
    <n v="1"/>
    <n v="1"/>
  </r>
  <r>
    <x v="0"/>
    <x v="0"/>
    <s v="S12000047"/>
    <x v="31"/>
    <n v="111"/>
    <n v="11"/>
    <n v="19"/>
    <n v="81"/>
  </r>
  <r>
    <x v="1"/>
    <x v="0"/>
    <s v="S12000005"/>
    <x v="0"/>
    <n v="23"/>
    <n v="2"/>
    <n v="5"/>
    <n v="16"/>
  </r>
  <r>
    <x v="1"/>
    <x v="0"/>
    <s v="S12000006"/>
    <x v="1"/>
    <n v="206"/>
    <n v="17"/>
    <n v="36"/>
    <n v="153"/>
  </r>
  <r>
    <x v="1"/>
    <x v="0"/>
    <s v="S12000008"/>
    <x v="2"/>
    <n v="80"/>
    <n v="8"/>
    <n v="9"/>
    <n v="63"/>
  </r>
  <r>
    <x v="1"/>
    <x v="0"/>
    <s v="S12000010"/>
    <x v="3"/>
    <n v="60"/>
    <n v="5"/>
    <n v="12"/>
    <n v="43"/>
  </r>
  <r>
    <x v="1"/>
    <x v="0"/>
    <s v="S12000011"/>
    <x v="4"/>
    <n v="0"/>
    <n v="0"/>
    <n v="0"/>
    <n v="0"/>
  </r>
  <r>
    <x v="1"/>
    <x v="0"/>
    <s v="S12000013"/>
    <x v="5"/>
    <n v="147"/>
    <n v="16"/>
    <n v="27"/>
    <n v="104"/>
  </r>
  <r>
    <x v="1"/>
    <x v="0"/>
    <s v="S12000014"/>
    <x v="6"/>
    <n v="68"/>
    <n v="6"/>
    <n v="9"/>
    <n v="53"/>
  </r>
  <r>
    <x v="1"/>
    <x v="0"/>
    <s v="S12000017"/>
    <x v="7"/>
    <n v="548"/>
    <n v="54"/>
    <n v="106"/>
    <n v="388"/>
  </r>
  <r>
    <x v="1"/>
    <x v="0"/>
    <s v="S12000018"/>
    <x v="8"/>
    <n v="40"/>
    <n v="3"/>
    <n v="4"/>
    <n v="33"/>
  </r>
  <r>
    <x v="1"/>
    <x v="0"/>
    <s v="S12000019"/>
    <x v="9"/>
    <n v="14"/>
    <n v="1"/>
    <n v="2"/>
    <n v="11"/>
  </r>
  <r>
    <x v="1"/>
    <x v="0"/>
    <s v="S12000020"/>
    <x v="10"/>
    <n v="121"/>
    <n v="11"/>
    <n v="26"/>
    <n v="84"/>
  </r>
  <r>
    <x v="1"/>
    <x v="0"/>
    <s v="S12000021"/>
    <x v="11"/>
    <n v="90"/>
    <n v="9"/>
    <n v="17"/>
    <n v="64"/>
  </r>
  <r>
    <x v="1"/>
    <x v="0"/>
    <s v="S12000023"/>
    <x v="12"/>
    <n v="109"/>
    <n v="12"/>
    <n v="26"/>
    <n v="71"/>
  </r>
  <r>
    <x v="1"/>
    <x v="0"/>
    <s v="S12000024"/>
    <x v="13"/>
    <n v="128"/>
    <n v="13"/>
    <n v="26"/>
    <n v="89"/>
  </r>
  <r>
    <x v="1"/>
    <x v="0"/>
    <s v="S12000026"/>
    <x v="14"/>
    <n v="151"/>
    <n v="14"/>
    <n v="26"/>
    <n v="111"/>
  </r>
  <r>
    <x v="1"/>
    <x v="0"/>
    <s v="S12000027"/>
    <x v="15"/>
    <n v="127"/>
    <n v="12"/>
    <n v="29"/>
    <n v="86"/>
  </r>
  <r>
    <x v="1"/>
    <x v="0"/>
    <s v="S12000028"/>
    <x v="16"/>
    <n v="54"/>
    <n v="5"/>
    <n v="9"/>
    <n v="40"/>
  </r>
  <r>
    <x v="1"/>
    <x v="0"/>
    <s v="S12000029"/>
    <x v="17"/>
    <n v="82"/>
    <n v="9"/>
    <n v="8"/>
    <n v="65"/>
  </r>
  <r>
    <x v="1"/>
    <x v="0"/>
    <s v="S12000030"/>
    <x v="18"/>
    <n v="75"/>
    <n v="9"/>
    <n v="14"/>
    <n v="52"/>
  </r>
  <r>
    <x v="1"/>
    <x v="0"/>
    <s v="S12000033"/>
    <x v="19"/>
    <n v="8"/>
    <n v="1"/>
    <n v="2"/>
    <n v="5"/>
  </r>
  <r>
    <x v="1"/>
    <x v="0"/>
    <s v="S12000034"/>
    <x v="20"/>
    <n v="280"/>
    <n v="27"/>
    <n v="63"/>
    <n v="190"/>
  </r>
  <r>
    <x v="1"/>
    <x v="0"/>
    <s v="S12000035"/>
    <x v="21"/>
    <n v="175"/>
    <n v="15"/>
    <n v="24"/>
    <n v="136"/>
  </r>
  <r>
    <x v="1"/>
    <x v="0"/>
    <s v="S12000036"/>
    <x v="22"/>
    <n v="13"/>
    <n v="1"/>
    <n v="2"/>
    <n v="10"/>
  </r>
  <r>
    <x v="1"/>
    <x v="0"/>
    <s v="S12000038"/>
    <x v="23"/>
    <n v="14"/>
    <n v="1"/>
    <n v="2"/>
    <n v="11"/>
  </r>
  <r>
    <x v="1"/>
    <x v="0"/>
    <s v="S12000039"/>
    <x v="24"/>
    <n v="21"/>
    <n v="2"/>
    <n v="1"/>
    <n v="18"/>
  </r>
  <r>
    <x v="1"/>
    <x v="0"/>
    <s v="S12000040"/>
    <x v="25"/>
    <n v="65"/>
    <n v="6"/>
    <n v="12"/>
    <n v="47"/>
  </r>
  <r>
    <x v="1"/>
    <x v="0"/>
    <s v="S12000041"/>
    <x v="26"/>
    <n v="95"/>
    <n v="7"/>
    <n v="20"/>
    <n v="68"/>
  </r>
  <r>
    <x v="1"/>
    <x v="0"/>
    <s v="S12000042"/>
    <x v="27"/>
    <n v="14"/>
    <n v="1"/>
    <n v="3"/>
    <n v="10"/>
  </r>
  <r>
    <x v="1"/>
    <x v="0"/>
    <s v="S12000044"/>
    <x v="28"/>
    <n v="30"/>
    <n v="3"/>
    <n v="3"/>
    <n v="24"/>
  </r>
  <r>
    <x v="1"/>
    <x v="0"/>
    <s v="S12000045"/>
    <x v="29"/>
    <n v="0"/>
    <n v="0"/>
    <n v="0"/>
    <n v="0"/>
  </r>
  <r>
    <x v="1"/>
    <x v="0"/>
    <s v="S12000046"/>
    <x v="30"/>
    <n v="0"/>
    <n v="0"/>
    <n v="0"/>
    <n v="0"/>
  </r>
  <r>
    <x v="1"/>
    <x v="0"/>
    <s v="S12000047"/>
    <x v="31"/>
    <n v="112"/>
    <n v="10"/>
    <n v="23"/>
    <n v="79"/>
  </r>
  <r>
    <x v="2"/>
    <x v="0"/>
    <s v="S12000005"/>
    <x v="0"/>
    <n v="21"/>
    <n v="2"/>
    <n v="4"/>
    <n v="15"/>
  </r>
  <r>
    <x v="2"/>
    <x v="0"/>
    <s v="S12000006"/>
    <x v="1"/>
    <n v="190"/>
    <n v="16"/>
    <n v="34"/>
    <n v="140"/>
  </r>
  <r>
    <x v="2"/>
    <x v="0"/>
    <s v="S12000008"/>
    <x v="2"/>
    <n v="83"/>
    <n v="7"/>
    <n v="11"/>
    <n v="65"/>
  </r>
  <r>
    <x v="2"/>
    <x v="0"/>
    <s v="S12000010"/>
    <x v="3"/>
    <n v="55"/>
    <n v="4"/>
    <n v="11"/>
    <n v="40"/>
  </r>
  <r>
    <x v="2"/>
    <x v="0"/>
    <s v="S12000011"/>
    <x v="4"/>
    <n v="2"/>
    <n v="0"/>
    <n v="0"/>
    <n v="2"/>
  </r>
  <r>
    <x v="2"/>
    <x v="0"/>
    <s v="S12000013"/>
    <x v="5"/>
    <n v="140"/>
    <n v="12"/>
    <n v="34"/>
    <n v="94"/>
  </r>
  <r>
    <x v="2"/>
    <x v="0"/>
    <s v="S12000014"/>
    <x v="6"/>
    <n v="53"/>
    <n v="5"/>
    <n v="9"/>
    <n v="39"/>
  </r>
  <r>
    <x v="2"/>
    <x v="0"/>
    <s v="S12000017"/>
    <x v="7"/>
    <n v="525"/>
    <n v="53"/>
    <n v="107"/>
    <n v="365"/>
  </r>
  <r>
    <x v="2"/>
    <x v="0"/>
    <s v="S12000018"/>
    <x v="8"/>
    <n v="41"/>
    <n v="4"/>
    <n v="6"/>
    <n v="31"/>
  </r>
  <r>
    <x v="2"/>
    <x v="0"/>
    <s v="S12000019"/>
    <x v="9"/>
    <n v="11"/>
    <n v="1"/>
    <n v="2"/>
    <n v="8"/>
  </r>
  <r>
    <x v="2"/>
    <x v="0"/>
    <s v="S12000020"/>
    <x v="10"/>
    <n v="110"/>
    <n v="12"/>
    <n v="26"/>
    <n v="72"/>
  </r>
  <r>
    <x v="2"/>
    <x v="0"/>
    <s v="S12000021"/>
    <x v="11"/>
    <n v="108"/>
    <n v="9"/>
    <n v="12"/>
    <n v="87"/>
  </r>
  <r>
    <x v="2"/>
    <x v="0"/>
    <s v="S12000023"/>
    <x v="12"/>
    <n v="98"/>
    <n v="12"/>
    <n v="19"/>
    <n v="67"/>
  </r>
  <r>
    <x v="2"/>
    <x v="0"/>
    <s v="S12000024"/>
    <x v="13"/>
    <n v="126"/>
    <n v="9"/>
    <n v="24"/>
    <n v="93"/>
  </r>
  <r>
    <x v="2"/>
    <x v="0"/>
    <s v="S12000026"/>
    <x v="14"/>
    <n v="147"/>
    <n v="13"/>
    <n v="26"/>
    <n v="108"/>
  </r>
  <r>
    <x v="2"/>
    <x v="0"/>
    <s v="S12000027"/>
    <x v="15"/>
    <n v="126"/>
    <n v="14"/>
    <n v="25"/>
    <n v="87"/>
  </r>
  <r>
    <x v="2"/>
    <x v="0"/>
    <s v="S12000028"/>
    <x v="16"/>
    <n v="53"/>
    <n v="5"/>
    <n v="7"/>
    <n v="41"/>
  </r>
  <r>
    <x v="2"/>
    <x v="0"/>
    <s v="S12000029"/>
    <x v="17"/>
    <n v="71"/>
    <n v="8"/>
    <n v="9"/>
    <n v="54"/>
  </r>
  <r>
    <x v="2"/>
    <x v="0"/>
    <s v="S12000030"/>
    <x v="18"/>
    <n v="73"/>
    <n v="9"/>
    <n v="17"/>
    <n v="47"/>
  </r>
  <r>
    <x v="2"/>
    <x v="0"/>
    <s v="S12000033"/>
    <x v="19"/>
    <n v="23"/>
    <n v="2"/>
    <n v="8"/>
    <n v="13"/>
  </r>
  <r>
    <x v="2"/>
    <x v="0"/>
    <s v="S12000034"/>
    <x v="20"/>
    <n v="271"/>
    <n v="25"/>
    <n v="66"/>
    <n v="180"/>
  </r>
  <r>
    <x v="2"/>
    <x v="0"/>
    <s v="S12000035"/>
    <x v="21"/>
    <n v="182"/>
    <n v="12"/>
    <n v="26"/>
    <n v="144"/>
  </r>
  <r>
    <x v="2"/>
    <x v="0"/>
    <s v="S12000036"/>
    <x v="22"/>
    <n v="12"/>
    <n v="1"/>
    <n v="2"/>
    <n v="9"/>
  </r>
  <r>
    <x v="2"/>
    <x v="0"/>
    <s v="S12000038"/>
    <x v="23"/>
    <n v="13"/>
    <n v="1"/>
    <n v="1"/>
    <n v="11"/>
  </r>
  <r>
    <x v="2"/>
    <x v="0"/>
    <s v="S12000039"/>
    <x v="24"/>
    <n v="19"/>
    <n v="2"/>
    <n v="2"/>
    <n v="15"/>
  </r>
  <r>
    <x v="2"/>
    <x v="0"/>
    <s v="S12000040"/>
    <x v="25"/>
    <n v="55"/>
    <n v="5"/>
    <n v="10"/>
    <n v="40"/>
  </r>
  <r>
    <x v="2"/>
    <x v="0"/>
    <s v="S12000041"/>
    <x v="26"/>
    <n v="98"/>
    <n v="6"/>
    <n v="16"/>
    <n v="76"/>
  </r>
  <r>
    <x v="2"/>
    <x v="0"/>
    <s v="S12000042"/>
    <x v="27"/>
    <n v="11"/>
    <n v="1"/>
    <n v="3"/>
    <n v="7"/>
  </r>
  <r>
    <x v="2"/>
    <x v="0"/>
    <s v="S12000044"/>
    <x v="28"/>
    <n v="34"/>
    <n v="3"/>
    <n v="3"/>
    <n v="28"/>
  </r>
  <r>
    <x v="2"/>
    <x v="0"/>
    <s v="S12000045"/>
    <x v="29"/>
    <n v="1"/>
    <n v="0"/>
    <n v="0"/>
    <n v="1"/>
  </r>
  <r>
    <x v="2"/>
    <x v="0"/>
    <s v="S12000046"/>
    <x v="30"/>
    <n v="6"/>
    <n v="0"/>
    <n v="0"/>
    <n v="6"/>
  </r>
  <r>
    <x v="2"/>
    <x v="0"/>
    <s v="S12000047"/>
    <x v="31"/>
    <n v="112"/>
    <n v="9"/>
    <n v="23"/>
    <n v="80"/>
  </r>
  <r>
    <x v="3"/>
    <x v="0"/>
    <s v="S12000005"/>
    <x v="0"/>
    <n v="24"/>
    <n v="2"/>
    <n v="4"/>
    <n v="18"/>
  </r>
  <r>
    <x v="3"/>
    <x v="0"/>
    <s v="S12000006"/>
    <x v="1"/>
    <n v="202"/>
    <n v="16"/>
    <n v="37"/>
    <n v="149"/>
  </r>
  <r>
    <x v="3"/>
    <x v="0"/>
    <s v="S12000008"/>
    <x v="2"/>
    <n v="81"/>
    <n v="7"/>
    <n v="11"/>
    <n v="63"/>
  </r>
  <r>
    <x v="3"/>
    <x v="0"/>
    <s v="S12000010"/>
    <x v="3"/>
    <n v="55"/>
    <n v="5"/>
    <n v="12"/>
    <n v="38"/>
  </r>
  <r>
    <x v="3"/>
    <x v="0"/>
    <s v="S12000011"/>
    <x v="4"/>
    <n v="0"/>
    <n v="0"/>
    <n v="0"/>
    <n v="0"/>
  </r>
  <r>
    <x v="3"/>
    <x v="0"/>
    <s v="S12000013"/>
    <x v="5"/>
    <n v="137"/>
    <n v="12"/>
    <n v="33"/>
    <n v="92"/>
  </r>
  <r>
    <x v="3"/>
    <x v="0"/>
    <s v="S12000014"/>
    <x v="6"/>
    <n v="56"/>
    <n v="5"/>
    <n v="10"/>
    <n v="41"/>
  </r>
  <r>
    <x v="3"/>
    <x v="0"/>
    <s v="S12000017"/>
    <x v="7"/>
    <n v="525"/>
    <n v="52"/>
    <n v="102"/>
    <n v="371"/>
  </r>
  <r>
    <x v="3"/>
    <x v="0"/>
    <s v="S12000018"/>
    <x v="8"/>
    <n v="39"/>
    <n v="3"/>
    <n v="6"/>
    <n v="30"/>
  </r>
  <r>
    <x v="3"/>
    <x v="0"/>
    <s v="S12000019"/>
    <x v="9"/>
    <n v="11"/>
    <n v="1"/>
    <n v="2"/>
    <n v="8"/>
  </r>
  <r>
    <x v="3"/>
    <x v="0"/>
    <s v="S12000020"/>
    <x v="10"/>
    <n v="125"/>
    <n v="13"/>
    <n v="26"/>
    <n v="86"/>
  </r>
  <r>
    <x v="3"/>
    <x v="0"/>
    <s v="S12000021"/>
    <x v="11"/>
    <n v="106"/>
    <n v="10"/>
    <n v="12"/>
    <n v="84"/>
  </r>
  <r>
    <x v="3"/>
    <x v="0"/>
    <s v="S12000023"/>
    <x v="12"/>
    <n v="95"/>
    <n v="11"/>
    <n v="21"/>
    <n v="63"/>
  </r>
  <r>
    <x v="3"/>
    <x v="0"/>
    <s v="S12000024"/>
    <x v="13"/>
    <n v="122"/>
    <n v="9"/>
    <n v="23"/>
    <n v="90"/>
  </r>
  <r>
    <x v="3"/>
    <x v="0"/>
    <s v="S12000026"/>
    <x v="14"/>
    <n v="143"/>
    <n v="13"/>
    <n v="27"/>
    <n v="103"/>
  </r>
  <r>
    <x v="3"/>
    <x v="0"/>
    <s v="S12000027"/>
    <x v="15"/>
    <n v="122"/>
    <n v="12"/>
    <n v="27"/>
    <n v="83"/>
  </r>
  <r>
    <x v="3"/>
    <x v="0"/>
    <s v="S12000028"/>
    <x v="16"/>
    <n v="48"/>
    <n v="5"/>
    <n v="8"/>
    <n v="35"/>
  </r>
  <r>
    <x v="3"/>
    <x v="0"/>
    <s v="S12000029"/>
    <x v="17"/>
    <n v="74"/>
    <n v="8"/>
    <n v="9"/>
    <n v="57"/>
  </r>
  <r>
    <x v="3"/>
    <x v="0"/>
    <s v="S12000030"/>
    <x v="18"/>
    <n v="73"/>
    <n v="8"/>
    <n v="17"/>
    <n v="48"/>
  </r>
  <r>
    <x v="3"/>
    <x v="0"/>
    <s v="S12000033"/>
    <x v="19"/>
    <n v="8"/>
    <n v="1"/>
    <n v="2"/>
    <n v="5"/>
  </r>
  <r>
    <x v="3"/>
    <x v="0"/>
    <s v="S12000034"/>
    <x v="20"/>
    <n v="282"/>
    <n v="26"/>
    <n v="68"/>
    <n v="188"/>
  </r>
  <r>
    <x v="3"/>
    <x v="0"/>
    <s v="S12000035"/>
    <x v="21"/>
    <n v="185"/>
    <n v="14"/>
    <n v="27"/>
    <n v="144"/>
  </r>
  <r>
    <x v="3"/>
    <x v="0"/>
    <s v="S12000036"/>
    <x v="22"/>
    <n v="12"/>
    <n v="1"/>
    <n v="1"/>
    <n v="10"/>
  </r>
  <r>
    <x v="3"/>
    <x v="0"/>
    <s v="S12000038"/>
    <x v="23"/>
    <n v="13"/>
    <n v="1"/>
    <n v="2"/>
    <n v="10"/>
  </r>
  <r>
    <x v="3"/>
    <x v="0"/>
    <s v="S12000039"/>
    <x v="24"/>
    <n v="17"/>
    <n v="1"/>
    <n v="2"/>
    <n v="14"/>
  </r>
  <r>
    <x v="3"/>
    <x v="0"/>
    <s v="S12000040"/>
    <x v="25"/>
    <n v="64"/>
    <n v="5"/>
    <n v="12"/>
    <n v="47"/>
  </r>
  <r>
    <x v="3"/>
    <x v="0"/>
    <s v="S12000041"/>
    <x v="26"/>
    <n v="94"/>
    <n v="6"/>
    <n v="17"/>
    <n v="71"/>
  </r>
  <r>
    <x v="3"/>
    <x v="0"/>
    <s v="S12000042"/>
    <x v="27"/>
    <n v="13"/>
    <n v="1"/>
    <n v="3"/>
    <n v="9"/>
  </r>
  <r>
    <x v="3"/>
    <x v="0"/>
    <s v="S12000044"/>
    <x v="28"/>
    <n v="35"/>
    <n v="3"/>
    <n v="6"/>
    <n v="26"/>
  </r>
  <r>
    <x v="3"/>
    <x v="0"/>
    <s v="S12000045"/>
    <x v="29"/>
    <n v="0"/>
    <n v="0"/>
    <n v="0"/>
    <n v="0"/>
  </r>
  <r>
    <x v="3"/>
    <x v="0"/>
    <s v="S12000046"/>
    <x v="30"/>
    <n v="0"/>
    <n v="0"/>
    <n v="0"/>
    <n v="0"/>
  </r>
  <r>
    <x v="3"/>
    <x v="0"/>
    <s v="S12000047"/>
    <x v="31"/>
    <n v="109"/>
    <n v="9"/>
    <n v="22"/>
    <n v="78"/>
  </r>
  <r>
    <x v="4"/>
    <x v="0"/>
    <s v="S12000005"/>
    <x v="0"/>
    <n v="22"/>
    <n v="2"/>
    <n v="3"/>
    <n v="17"/>
  </r>
  <r>
    <x v="4"/>
    <x v="0"/>
    <s v="S12000006"/>
    <x v="1"/>
    <n v="189"/>
    <n v="16"/>
    <n v="34"/>
    <n v="139"/>
  </r>
  <r>
    <x v="4"/>
    <x v="0"/>
    <s v="S12000008"/>
    <x v="2"/>
    <n v="82"/>
    <n v="7"/>
    <n v="9"/>
    <n v="66"/>
  </r>
  <r>
    <x v="4"/>
    <x v="0"/>
    <s v="S12000010"/>
    <x v="3"/>
    <n v="56"/>
    <n v="5"/>
    <n v="10"/>
    <n v="41"/>
  </r>
  <r>
    <x v="4"/>
    <x v="0"/>
    <s v="S12000013"/>
    <x v="5"/>
    <n v="131"/>
    <n v="13"/>
    <n v="25"/>
    <n v="93"/>
  </r>
  <r>
    <x v="4"/>
    <x v="0"/>
    <s v="S12000014"/>
    <x v="6"/>
    <n v="54"/>
    <n v="5"/>
    <n v="11"/>
    <n v="38"/>
  </r>
  <r>
    <x v="4"/>
    <x v="0"/>
    <s v="S12000017"/>
    <x v="7"/>
    <n v="538"/>
    <n v="55"/>
    <n v="106"/>
    <n v="377"/>
  </r>
  <r>
    <x v="4"/>
    <x v="0"/>
    <s v="S12000018"/>
    <x v="8"/>
    <n v="42"/>
    <n v="3"/>
    <n v="6"/>
    <n v="33"/>
  </r>
  <r>
    <x v="4"/>
    <x v="0"/>
    <s v="S12000019"/>
    <x v="9"/>
    <n v="12"/>
    <n v="1"/>
    <n v="2"/>
    <n v="9"/>
  </r>
  <r>
    <x v="4"/>
    <x v="0"/>
    <s v="S12000020"/>
    <x v="10"/>
    <n v="120"/>
    <n v="12"/>
    <n v="27"/>
    <n v="81"/>
  </r>
  <r>
    <x v="4"/>
    <x v="0"/>
    <s v="S12000021"/>
    <x v="11"/>
    <n v="106"/>
    <n v="10"/>
    <n v="10"/>
    <n v="86"/>
  </r>
  <r>
    <x v="4"/>
    <x v="0"/>
    <s v="S12000023"/>
    <x v="12"/>
    <n v="100"/>
    <n v="9"/>
    <n v="22"/>
    <n v="69"/>
  </r>
  <r>
    <x v="4"/>
    <x v="0"/>
    <s v="S12000024"/>
    <x v="13"/>
    <n v="126"/>
    <n v="9"/>
    <n v="23"/>
    <n v="94"/>
  </r>
  <r>
    <x v="4"/>
    <x v="0"/>
    <s v="S12000026"/>
    <x v="14"/>
    <n v="143"/>
    <n v="13"/>
    <n v="27"/>
    <n v="103"/>
  </r>
  <r>
    <x v="4"/>
    <x v="0"/>
    <s v="S12000027"/>
    <x v="15"/>
    <n v="118"/>
    <n v="12"/>
    <n v="24"/>
    <n v="82"/>
  </r>
  <r>
    <x v="4"/>
    <x v="0"/>
    <s v="S12000028"/>
    <x v="16"/>
    <n v="49"/>
    <n v="5"/>
    <n v="6"/>
    <n v="38"/>
  </r>
  <r>
    <x v="4"/>
    <x v="0"/>
    <s v="S12000029"/>
    <x v="17"/>
    <n v="73"/>
    <n v="9"/>
    <n v="8"/>
    <n v="56"/>
  </r>
  <r>
    <x v="4"/>
    <x v="0"/>
    <s v="S12000030"/>
    <x v="18"/>
    <n v="74"/>
    <n v="8"/>
    <n v="15"/>
    <n v="51"/>
  </r>
  <r>
    <x v="4"/>
    <x v="0"/>
    <s v="S12000033"/>
    <x v="19"/>
    <n v="8"/>
    <n v="1"/>
    <n v="1"/>
    <n v="6"/>
  </r>
  <r>
    <x v="4"/>
    <x v="0"/>
    <s v="S12000034"/>
    <x v="20"/>
    <n v="275"/>
    <n v="24"/>
    <n v="69"/>
    <n v="182"/>
  </r>
  <r>
    <x v="4"/>
    <x v="0"/>
    <s v="S12000035"/>
    <x v="21"/>
    <n v="177"/>
    <n v="14"/>
    <n v="26"/>
    <n v="137"/>
  </r>
  <r>
    <x v="4"/>
    <x v="0"/>
    <s v="S12000036"/>
    <x v="22"/>
    <n v="11"/>
    <n v="1"/>
    <n v="1"/>
    <n v="9"/>
  </r>
  <r>
    <x v="4"/>
    <x v="0"/>
    <s v="S12000038"/>
    <x v="23"/>
    <n v="16"/>
    <n v="1"/>
    <n v="2"/>
    <n v="13"/>
  </r>
  <r>
    <x v="4"/>
    <x v="0"/>
    <s v="S12000039"/>
    <x v="24"/>
    <n v="18"/>
    <n v="2"/>
    <n v="2"/>
    <n v="14"/>
  </r>
  <r>
    <x v="4"/>
    <x v="0"/>
    <s v="S12000040"/>
    <x v="25"/>
    <n v="65"/>
    <n v="5"/>
    <n v="11"/>
    <n v="49"/>
  </r>
  <r>
    <x v="4"/>
    <x v="0"/>
    <s v="S12000041"/>
    <x v="26"/>
    <n v="93"/>
    <n v="6"/>
    <n v="16"/>
    <n v="71"/>
  </r>
  <r>
    <x v="4"/>
    <x v="0"/>
    <s v="S12000042"/>
    <x v="27"/>
    <n v="13"/>
    <n v="1"/>
    <n v="2"/>
    <n v="10"/>
  </r>
  <r>
    <x v="4"/>
    <x v="0"/>
    <s v="S12000044"/>
    <x v="28"/>
    <n v="37"/>
    <n v="3"/>
    <n v="6"/>
    <n v="28"/>
  </r>
  <r>
    <x v="4"/>
    <x v="0"/>
    <s v="S12000047"/>
    <x v="31"/>
    <n v="115"/>
    <n v="9"/>
    <n v="21"/>
    <n v="85"/>
  </r>
  <r>
    <x v="5"/>
    <x v="0"/>
    <s v="S12000005"/>
    <x v="0"/>
    <n v="20"/>
    <n v="2"/>
    <n v="4"/>
    <n v="14"/>
  </r>
  <r>
    <x v="5"/>
    <x v="0"/>
    <s v="S12000006"/>
    <x v="1"/>
    <n v="199"/>
    <n v="18"/>
    <n v="34"/>
    <n v="147"/>
  </r>
  <r>
    <x v="5"/>
    <x v="0"/>
    <s v="S12000008"/>
    <x v="2"/>
    <n v="77"/>
    <n v="5"/>
    <n v="10"/>
    <n v="62"/>
  </r>
  <r>
    <x v="5"/>
    <x v="0"/>
    <s v="S12000010"/>
    <x v="3"/>
    <n v="63"/>
    <n v="6"/>
    <n v="12"/>
    <n v="45"/>
  </r>
  <r>
    <x v="5"/>
    <x v="0"/>
    <s v="S12000013"/>
    <x v="5"/>
    <n v="133"/>
    <n v="14"/>
    <n v="25"/>
    <n v="94"/>
  </r>
  <r>
    <x v="5"/>
    <x v="0"/>
    <s v="S12000014"/>
    <x v="6"/>
    <n v="55"/>
    <n v="5"/>
    <n v="10"/>
    <n v="40"/>
  </r>
  <r>
    <x v="5"/>
    <x v="0"/>
    <s v="S12000017"/>
    <x v="7"/>
    <n v="556"/>
    <n v="60"/>
    <n v="103"/>
    <n v="393"/>
  </r>
  <r>
    <x v="5"/>
    <x v="0"/>
    <s v="S12000018"/>
    <x v="8"/>
    <n v="44"/>
    <n v="3"/>
    <n v="6"/>
    <n v="35"/>
  </r>
  <r>
    <x v="5"/>
    <x v="0"/>
    <s v="S12000019"/>
    <x v="9"/>
    <n v="13"/>
    <n v="1"/>
    <n v="3"/>
    <n v="9"/>
  </r>
  <r>
    <x v="5"/>
    <x v="0"/>
    <s v="S12000020"/>
    <x v="10"/>
    <n v="121"/>
    <n v="12"/>
    <n v="28"/>
    <n v="81"/>
  </r>
  <r>
    <x v="5"/>
    <x v="0"/>
    <s v="S12000021"/>
    <x v="11"/>
    <n v="108"/>
    <n v="12"/>
    <n v="11"/>
    <n v="85"/>
  </r>
  <r>
    <x v="5"/>
    <x v="0"/>
    <s v="S12000023"/>
    <x v="12"/>
    <n v="110"/>
    <n v="10"/>
    <n v="23"/>
    <n v="77"/>
  </r>
  <r>
    <x v="5"/>
    <x v="0"/>
    <s v="S12000024"/>
    <x v="13"/>
    <n v="132"/>
    <n v="11"/>
    <n v="23"/>
    <n v="98"/>
  </r>
  <r>
    <x v="5"/>
    <x v="0"/>
    <s v="S12000026"/>
    <x v="14"/>
    <n v="144"/>
    <n v="14"/>
    <n v="28"/>
    <n v="102"/>
  </r>
  <r>
    <x v="5"/>
    <x v="0"/>
    <s v="S12000027"/>
    <x v="15"/>
    <n v="128"/>
    <n v="14"/>
    <n v="25"/>
    <n v="89"/>
  </r>
  <r>
    <x v="5"/>
    <x v="0"/>
    <s v="S12000028"/>
    <x v="16"/>
    <n v="58"/>
    <n v="5"/>
    <n v="7"/>
    <n v="46"/>
  </r>
  <r>
    <x v="5"/>
    <x v="0"/>
    <s v="S12000029"/>
    <x v="17"/>
    <n v="78"/>
    <n v="9"/>
    <n v="8"/>
    <n v="61"/>
  </r>
  <r>
    <x v="5"/>
    <x v="0"/>
    <s v="S12000030"/>
    <x v="18"/>
    <n v="76"/>
    <n v="9"/>
    <n v="16"/>
    <n v="51"/>
  </r>
  <r>
    <x v="5"/>
    <x v="0"/>
    <s v="S12000033"/>
    <x v="19"/>
    <n v="9"/>
    <n v="1"/>
    <n v="3"/>
    <n v="5"/>
  </r>
  <r>
    <x v="5"/>
    <x v="0"/>
    <s v="S12000034"/>
    <x v="20"/>
    <n v="285"/>
    <n v="25"/>
    <n v="69"/>
    <n v="191"/>
  </r>
  <r>
    <x v="5"/>
    <x v="0"/>
    <s v="S12000035"/>
    <x v="21"/>
    <n v="177"/>
    <n v="15"/>
    <n v="25"/>
    <n v="137"/>
  </r>
  <r>
    <x v="5"/>
    <x v="0"/>
    <s v="S12000036"/>
    <x v="22"/>
    <n v="9"/>
    <m/>
    <n v="2"/>
    <n v="7"/>
  </r>
  <r>
    <x v="5"/>
    <x v="0"/>
    <s v="S12000038"/>
    <x v="23"/>
    <n v="17"/>
    <n v="1"/>
    <n v="2"/>
    <n v="14"/>
  </r>
  <r>
    <x v="5"/>
    <x v="0"/>
    <s v="S12000039"/>
    <x v="24"/>
    <n v="20"/>
    <n v="2"/>
    <n v="2"/>
    <n v="16"/>
  </r>
  <r>
    <x v="5"/>
    <x v="0"/>
    <s v="S12000040"/>
    <x v="25"/>
    <n v="59"/>
    <n v="5"/>
    <n v="11"/>
    <n v="43"/>
  </r>
  <r>
    <x v="5"/>
    <x v="0"/>
    <s v="S12000041"/>
    <x v="26"/>
    <n v="98"/>
    <n v="6"/>
    <n v="14"/>
    <n v="78"/>
  </r>
  <r>
    <x v="5"/>
    <x v="0"/>
    <s v="S12000042"/>
    <x v="27"/>
    <n v="12"/>
    <n v="1"/>
    <n v="2"/>
    <n v="9"/>
  </r>
  <r>
    <x v="5"/>
    <x v="0"/>
    <s v="S12000044"/>
    <x v="28"/>
    <n v="35"/>
    <n v="3"/>
    <n v="6"/>
    <n v="26"/>
  </r>
  <r>
    <x v="5"/>
    <x v="0"/>
    <s v="S12000047"/>
    <x v="31"/>
    <n v="117"/>
    <n v="10"/>
    <n v="21"/>
    <n v="86"/>
  </r>
</pivotCacheRecords>
</file>

<file path=xl/pivotCache/pivotCacheRecords8.xml><?xml version="1.0" encoding="utf-8"?>
<pivotCacheRecords xmlns="http://schemas.openxmlformats.org/spreadsheetml/2006/main" xmlns:r="http://schemas.openxmlformats.org/officeDocument/2006/relationships" count="6">
  <r>
    <x v="0"/>
    <x v="0"/>
    <x v="0"/>
    <s v="S92000003"/>
    <n v="223"/>
    <n v="0"/>
    <n v="5"/>
    <n v="11"/>
    <n v="52"/>
    <n v="52"/>
    <n v="103"/>
  </r>
  <r>
    <x v="1"/>
    <x v="0"/>
    <x v="0"/>
    <s v="S92000003"/>
    <n v="230"/>
    <n v="0"/>
    <n v="5"/>
    <n v="13"/>
    <n v="50"/>
    <n v="52"/>
    <n v="110"/>
  </r>
  <r>
    <x v="2"/>
    <x v="0"/>
    <x v="0"/>
    <s v="S92000003"/>
    <n v="203"/>
    <n v="0"/>
    <n v="6"/>
    <n v="7"/>
    <n v="51"/>
    <n v="44"/>
    <n v="95"/>
  </r>
  <r>
    <x v="3"/>
    <x v="0"/>
    <x v="0"/>
    <s v="S92000003"/>
    <n v="165"/>
    <n v="0"/>
    <n v="5"/>
    <n v="8"/>
    <n v="41"/>
    <n v="31"/>
    <n v="80"/>
  </r>
  <r>
    <x v="4"/>
    <x v="0"/>
    <x v="0"/>
    <s v="S92000003"/>
    <n v="189"/>
    <n v="0"/>
    <n v="5"/>
    <n v="8"/>
    <n v="43"/>
    <n v="27"/>
    <n v="106"/>
  </r>
  <r>
    <x v="5"/>
    <x v="0"/>
    <x v="0"/>
    <s v="S92000003"/>
    <n v="207"/>
    <n v="1"/>
    <n v="4"/>
    <n v="9"/>
    <n v="42"/>
    <n v="27"/>
    <n v="124"/>
  </r>
</pivotCacheRecords>
</file>

<file path=xl/pivotCache/pivotCacheRecords9.xml><?xml version="1.0" encoding="utf-8"?>
<pivotCacheRecords xmlns="http://schemas.openxmlformats.org/spreadsheetml/2006/main" xmlns:r="http://schemas.openxmlformats.org/officeDocument/2006/relationships" count="151">
  <r>
    <x v="0"/>
    <x v="0"/>
    <x v="0"/>
    <n v="52"/>
    <n v="46"/>
    <n v="6"/>
  </r>
  <r>
    <x v="0"/>
    <x v="0"/>
    <x v="1"/>
    <n v="103"/>
    <n v="94"/>
    <n v="9"/>
  </r>
  <r>
    <x v="0"/>
    <x v="0"/>
    <x v="2"/>
    <n v="5"/>
    <n v="4"/>
    <n v="1"/>
  </r>
  <r>
    <x v="0"/>
    <x v="0"/>
    <x v="3"/>
    <n v="11"/>
    <n v="9"/>
    <n v="2"/>
  </r>
  <r>
    <x v="0"/>
    <x v="0"/>
    <x v="4"/>
    <n v="52"/>
    <n v="46"/>
    <n v="6"/>
  </r>
  <r>
    <x v="0"/>
    <x v="1"/>
    <x v="0"/>
    <n v="535"/>
    <n v="19"/>
    <n v="516"/>
  </r>
  <r>
    <x v="0"/>
    <x v="1"/>
    <x v="1"/>
    <n v="2127"/>
    <n v="149"/>
    <n v="1978"/>
  </r>
  <r>
    <x v="0"/>
    <x v="1"/>
    <x v="4"/>
    <n v="278"/>
    <n v="10"/>
    <n v="268"/>
  </r>
  <r>
    <x v="0"/>
    <x v="2"/>
    <x v="5"/>
    <n v="278"/>
    <n v="248"/>
    <n v="30"/>
  </r>
  <r>
    <x v="0"/>
    <x v="2"/>
    <x v="6"/>
    <n v="0"/>
    <n v="0"/>
    <n v="0"/>
  </r>
  <r>
    <x v="0"/>
    <x v="2"/>
    <x v="7"/>
    <n v="45"/>
    <n v="28"/>
    <n v="17"/>
  </r>
  <r>
    <x v="0"/>
    <x v="2"/>
    <x v="8"/>
    <n v="70"/>
    <n v="32"/>
    <n v="38"/>
  </r>
  <r>
    <x v="0"/>
    <x v="2"/>
    <x v="9"/>
    <n v="314"/>
    <n v="91"/>
    <n v="223"/>
  </r>
  <r>
    <x v="0"/>
    <x v="2"/>
    <x v="10"/>
    <n v="20"/>
    <n v="7"/>
    <n v="13"/>
  </r>
  <r>
    <x v="0"/>
    <x v="2"/>
    <x v="11"/>
    <n v="234"/>
    <n v="139"/>
    <n v="95"/>
  </r>
  <r>
    <x v="0"/>
    <x v="3"/>
    <x v="0"/>
    <n v="73"/>
    <n v="8"/>
    <n v="65"/>
  </r>
  <r>
    <x v="0"/>
    <x v="3"/>
    <x v="1"/>
    <n v="277"/>
    <n v="44"/>
    <n v="233"/>
  </r>
  <r>
    <x v="0"/>
    <x v="3"/>
    <x v="4"/>
    <n v="9"/>
    <n v="0"/>
    <n v="9"/>
  </r>
  <r>
    <x v="0"/>
    <x v="4"/>
    <x v="12"/>
    <n v="28"/>
    <n v="0"/>
    <n v="28"/>
  </r>
  <r>
    <x v="0"/>
    <x v="4"/>
    <x v="13"/>
    <n v="9"/>
    <n v="0"/>
    <n v="9"/>
  </r>
  <r>
    <x v="0"/>
    <x v="4"/>
    <x v="0"/>
    <n v="660"/>
    <n v="26"/>
    <n v="634"/>
  </r>
  <r>
    <x v="0"/>
    <x v="4"/>
    <x v="1"/>
    <n v="2374"/>
    <n v="106"/>
    <n v="2268"/>
  </r>
  <r>
    <x v="0"/>
    <x v="4"/>
    <x v="2"/>
    <n v="115"/>
    <n v="3"/>
    <n v="112"/>
  </r>
  <r>
    <x v="0"/>
    <x v="4"/>
    <x v="3"/>
    <n v="136"/>
    <n v="2"/>
    <n v="134"/>
  </r>
  <r>
    <x v="0"/>
    <x v="4"/>
    <x v="4"/>
    <n v="679"/>
    <n v="22"/>
    <n v="657"/>
  </r>
  <r>
    <x v="1"/>
    <x v="0"/>
    <x v="0"/>
    <n v="52"/>
    <n v="44"/>
    <n v="8"/>
  </r>
  <r>
    <x v="1"/>
    <x v="0"/>
    <x v="1"/>
    <n v="110"/>
    <n v="89"/>
    <n v="21"/>
  </r>
  <r>
    <x v="1"/>
    <x v="0"/>
    <x v="2"/>
    <n v="5"/>
    <n v="4"/>
    <n v="1"/>
  </r>
  <r>
    <x v="1"/>
    <x v="0"/>
    <x v="3"/>
    <n v="13"/>
    <n v="11"/>
    <n v="2"/>
  </r>
  <r>
    <x v="1"/>
    <x v="0"/>
    <x v="4"/>
    <n v="50"/>
    <n v="44"/>
    <n v="6"/>
  </r>
  <r>
    <x v="1"/>
    <x v="1"/>
    <x v="0"/>
    <n v="546"/>
    <n v="17"/>
    <n v="529"/>
  </r>
  <r>
    <x v="1"/>
    <x v="1"/>
    <x v="1"/>
    <n v="2124"/>
    <n v="143"/>
    <n v="1981"/>
  </r>
  <r>
    <x v="1"/>
    <x v="1"/>
    <x v="4"/>
    <n v="280"/>
    <n v="12"/>
    <n v="268"/>
  </r>
  <r>
    <x v="1"/>
    <x v="2"/>
    <x v="5"/>
    <n v="195"/>
    <n v="176"/>
    <n v="19"/>
  </r>
  <r>
    <x v="1"/>
    <x v="2"/>
    <x v="6"/>
    <n v="2"/>
    <n v="2"/>
    <n v="0"/>
  </r>
  <r>
    <x v="1"/>
    <x v="2"/>
    <x v="7"/>
    <n v="59"/>
    <n v="40"/>
    <n v="19"/>
  </r>
  <r>
    <x v="1"/>
    <x v="2"/>
    <x v="8"/>
    <n v="44"/>
    <n v="21"/>
    <n v="23"/>
  </r>
  <r>
    <x v="1"/>
    <x v="2"/>
    <x v="9"/>
    <n v="335"/>
    <n v="99"/>
    <n v="236"/>
  </r>
  <r>
    <x v="1"/>
    <x v="2"/>
    <x v="10"/>
    <n v="37"/>
    <n v="20"/>
    <n v="17"/>
  </r>
  <r>
    <x v="1"/>
    <x v="2"/>
    <x v="11"/>
    <n v="195"/>
    <n v="122"/>
    <n v="73"/>
  </r>
  <r>
    <x v="1"/>
    <x v="3"/>
    <x v="0"/>
    <n v="44"/>
    <n v="4"/>
    <n v="40"/>
  </r>
  <r>
    <x v="1"/>
    <x v="3"/>
    <x v="1"/>
    <n v="296"/>
    <n v="48"/>
    <n v="248"/>
  </r>
  <r>
    <x v="1"/>
    <x v="3"/>
    <x v="4"/>
    <n v="38"/>
    <n v="4"/>
    <n v="34"/>
  </r>
  <r>
    <x v="1"/>
    <x v="4"/>
    <x v="12"/>
    <n v="33"/>
    <n v="0"/>
    <n v="33"/>
  </r>
  <r>
    <x v="1"/>
    <x v="4"/>
    <x v="13"/>
    <n v="7"/>
    <n v="0"/>
    <n v="7"/>
  </r>
  <r>
    <x v="1"/>
    <x v="4"/>
    <x v="0"/>
    <n v="634"/>
    <n v="24"/>
    <n v="610"/>
  </r>
  <r>
    <x v="1"/>
    <x v="4"/>
    <x v="1"/>
    <n v="2285"/>
    <n v="109"/>
    <n v="2176"/>
  </r>
  <r>
    <x v="1"/>
    <x v="4"/>
    <x v="2"/>
    <n v="103"/>
    <n v="3"/>
    <n v="100"/>
  </r>
  <r>
    <x v="1"/>
    <x v="4"/>
    <x v="3"/>
    <n v="130"/>
    <n v="1"/>
    <n v="129"/>
  </r>
  <r>
    <x v="1"/>
    <x v="4"/>
    <x v="4"/>
    <n v="664"/>
    <n v="27"/>
    <n v="637"/>
  </r>
  <r>
    <x v="2"/>
    <x v="0"/>
    <x v="0"/>
    <n v="44"/>
    <n v="39"/>
    <n v="5"/>
  </r>
  <r>
    <x v="2"/>
    <x v="0"/>
    <x v="1"/>
    <n v="95"/>
    <n v="77"/>
    <n v="18"/>
  </r>
  <r>
    <x v="2"/>
    <x v="0"/>
    <x v="2"/>
    <n v="6"/>
    <n v="4"/>
    <n v="2"/>
  </r>
  <r>
    <x v="2"/>
    <x v="0"/>
    <x v="3"/>
    <n v="7"/>
    <n v="7"/>
    <n v="0"/>
  </r>
  <r>
    <x v="2"/>
    <x v="0"/>
    <x v="4"/>
    <n v="51"/>
    <n v="44"/>
    <n v="7"/>
  </r>
  <r>
    <x v="2"/>
    <x v="1"/>
    <x v="0"/>
    <n v="543"/>
    <n v="17"/>
    <n v="526"/>
  </r>
  <r>
    <x v="2"/>
    <x v="1"/>
    <x v="1"/>
    <n v="2065"/>
    <n v="132"/>
    <n v="1933"/>
  </r>
  <r>
    <x v="2"/>
    <x v="1"/>
    <x v="4"/>
    <n v="262"/>
    <n v="14"/>
    <n v="248"/>
  </r>
  <r>
    <x v="2"/>
    <x v="2"/>
    <x v="5"/>
    <n v="194"/>
    <n v="176"/>
    <n v="18"/>
  </r>
  <r>
    <x v="2"/>
    <x v="2"/>
    <x v="6"/>
    <n v="3"/>
    <n v="2"/>
    <n v="1"/>
  </r>
  <r>
    <x v="2"/>
    <x v="2"/>
    <x v="7"/>
    <n v="74"/>
    <n v="57"/>
    <n v="17"/>
  </r>
  <r>
    <x v="2"/>
    <x v="2"/>
    <x v="8"/>
    <n v="40"/>
    <n v="15"/>
    <n v="25"/>
  </r>
  <r>
    <x v="2"/>
    <x v="2"/>
    <x v="9"/>
    <n v="316"/>
    <n v="101"/>
    <n v="215"/>
  </r>
  <r>
    <x v="2"/>
    <x v="2"/>
    <x v="10"/>
    <n v="34"/>
    <n v="18"/>
    <n v="16"/>
  </r>
  <r>
    <x v="2"/>
    <x v="2"/>
    <x v="11"/>
    <n v="167"/>
    <n v="94"/>
    <n v="73"/>
  </r>
  <r>
    <x v="2"/>
    <x v="3"/>
    <x v="0"/>
    <n v="46"/>
    <n v="6"/>
    <n v="40"/>
  </r>
  <r>
    <x v="2"/>
    <x v="3"/>
    <x v="1"/>
    <n v="260"/>
    <n v="48"/>
    <n v="212"/>
  </r>
  <r>
    <x v="2"/>
    <x v="3"/>
    <x v="4"/>
    <n v="36"/>
    <n v="2"/>
    <n v="34"/>
  </r>
  <r>
    <x v="2"/>
    <x v="4"/>
    <x v="12"/>
    <n v="35"/>
    <n v="0"/>
    <n v="35"/>
  </r>
  <r>
    <x v="2"/>
    <x v="4"/>
    <x v="13"/>
    <n v="4"/>
    <n v="0"/>
    <n v="4"/>
  </r>
  <r>
    <x v="2"/>
    <x v="4"/>
    <x v="0"/>
    <n v="600"/>
    <n v="27"/>
    <n v="573"/>
  </r>
  <r>
    <x v="2"/>
    <x v="4"/>
    <x v="1"/>
    <n v="2258"/>
    <n v="113"/>
    <n v="2145"/>
  </r>
  <r>
    <x v="2"/>
    <x v="4"/>
    <x v="2"/>
    <n v="90"/>
    <n v="3"/>
    <n v="87"/>
  </r>
  <r>
    <x v="2"/>
    <x v="4"/>
    <x v="3"/>
    <n v="126"/>
    <n v="2"/>
    <n v="124"/>
  </r>
  <r>
    <x v="2"/>
    <x v="4"/>
    <x v="4"/>
    <n v="577"/>
    <n v="22"/>
    <n v="555"/>
  </r>
  <r>
    <x v="3"/>
    <x v="0"/>
    <x v="0"/>
    <n v="31"/>
    <n v="26"/>
    <n v="5"/>
  </r>
  <r>
    <x v="3"/>
    <x v="0"/>
    <x v="1"/>
    <n v="80"/>
    <n v="67"/>
    <n v="13"/>
  </r>
  <r>
    <x v="3"/>
    <x v="0"/>
    <x v="2"/>
    <n v="5"/>
    <n v="4"/>
    <n v="1"/>
  </r>
  <r>
    <x v="3"/>
    <x v="0"/>
    <x v="3"/>
    <n v="8"/>
    <n v="7"/>
    <n v="1"/>
  </r>
  <r>
    <x v="3"/>
    <x v="0"/>
    <x v="4"/>
    <n v="41"/>
    <n v="35"/>
    <n v="6"/>
  </r>
  <r>
    <x v="3"/>
    <x v="1"/>
    <x v="0"/>
    <n v="549"/>
    <n v="15"/>
    <n v="534"/>
  </r>
  <r>
    <x v="3"/>
    <x v="1"/>
    <x v="1"/>
    <n v="2061"/>
    <n v="127"/>
    <n v="1934"/>
  </r>
  <r>
    <x v="3"/>
    <x v="1"/>
    <x v="4"/>
    <n v="260"/>
    <n v="16"/>
    <n v="244"/>
  </r>
  <r>
    <x v="3"/>
    <x v="2"/>
    <x v="5"/>
    <n v="170"/>
    <n v="159"/>
    <n v="11"/>
  </r>
  <r>
    <x v="3"/>
    <x v="2"/>
    <x v="6"/>
    <n v="3"/>
    <n v="2"/>
    <n v="1"/>
  </r>
  <r>
    <x v="3"/>
    <x v="2"/>
    <x v="7"/>
    <n v="78"/>
    <n v="58"/>
    <n v="20"/>
  </r>
  <r>
    <x v="3"/>
    <x v="2"/>
    <x v="8"/>
    <n v="42"/>
    <n v="17"/>
    <n v="25"/>
  </r>
  <r>
    <x v="3"/>
    <x v="2"/>
    <x v="9"/>
    <n v="346"/>
    <n v="113"/>
    <n v="233"/>
  </r>
  <r>
    <x v="3"/>
    <x v="2"/>
    <x v="10"/>
    <n v="34"/>
    <n v="19"/>
    <n v="15"/>
  </r>
  <r>
    <x v="3"/>
    <x v="2"/>
    <x v="11"/>
    <n v="165"/>
    <n v="98"/>
    <n v="67"/>
  </r>
  <r>
    <x v="3"/>
    <x v="3"/>
    <x v="0"/>
    <n v="46"/>
    <n v="4"/>
    <n v="38"/>
  </r>
  <r>
    <x v="3"/>
    <x v="3"/>
    <x v="1"/>
    <n v="260"/>
    <n v="40"/>
    <n v="198"/>
  </r>
  <r>
    <x v="3"/>
    <x v="3"/>
    <x v="4"/>
    <n v="36"/>
    <n v="4"/>
    <n v="32"/>
  </r>
  <r>
    <x v="3"/>
    <x v="4"/>
    <x v="12"/>
    <n v="34"/>
    <n v="0"/>
    <n v="34"/>
  </r>
  <r>
    <x v="3"/>
    <x v="4"/>
    <x v="13"/>
    <n v="4"/>
    <n v="0"/>
    <n v="4"/>
  </r>
  <r>
    <x v="3"/>
    <x v="4"/>
    <x v="0"/>
    <n v="635"/>
    <n v="29"/>
    <n v="606"/>
  </r>
  <r>
    <x v="3"/>
    <x v="4"/>
    <x v="1"/>
    <n v="2161"/>
    <n v="122"/>
    <n v="2039"/>
  </r>
  <r>
    <x v="3"/>
    <x v="4"/>
    <x v="2"/>
    <n v="70"/>
    <n v="2"/>
    <n v="68"/>
  </r>
  <r>
    <x v="3"/>
    <x v="4"/>
    <x v="3"/>
    <n v="151"/>
    <n v="2"/>
    <n v="149"/>
  </r>
  <r>
    <x v="3"/>
    <x v="4"/>
    <x v="4"/>
    <n v="590"/>
    <n v="23"/>
    <n v="567"/>
  </r>
  <r>
    <x v="4"/>
    <x v="0"/>
    <x v="0"/>
    <n v="27"/>
    <n v="23"/>
    <n v="4"/>
  </r>
  <r>
    <x v="4"/>
    <x v="0"/>
    <x v="1"/>
    <n v="106"/>
    <n v="88"/>
    <n v="18"/>
  </r>
  <r>
    <x v="4"/>
    <x v="0"/>
    <x v="2"/>
    <n v="5"/>
    <n v="4"/>
    <n v="1"/>
  </r>
  <r>
    <x v="4"/>
    <x v="0"/>
    <x v="3"/>
    <n v="8"/>
    <n v="7"/>
    <n v="1"/>
  </r>
  <r>
    <x v="4"/>
    <x v="0"/>
    <x v="4"/>
    <n v="43"/>
    <n v="36"/>
    <n v="7"/>
  </r>
  <r>
    <x v="4"/>
    <x v="1"/>
    <x v="0"/>
    <n v="525"/>
    <n v="19"/>
    <n v="506"/>
  </r>
  <r>
    <x v="4"/>
    <x v="1"/>
    <x v="1"/>
    <n v="2077"/>
    <n v="138"/>
    <n v="1939"/>
  </r>
  <r>
    <x v="4"/>
    <x v="1"/>
    <x v="4"/>
    <n v="261"/>
    <n v="14"/>
    <n v="247"/>
  </r>
  <r>
    <x v="4"/>
    <x v="2"/>
    <x v="5"/>
    <n v="164"/>
    <n v="155"/>
    <n v="9"/>
  </r>
  <r>
    <x v="4"/>
    <x v="2"/>
    <x v="6"/>
    <n v="2"/>
    <n v="1"/>
    <n v="1"/>
  </r>
  <r>
    <x v="4"/>
    <x v="2"/>
    <x v="7"/>
    <n v="79"/>
    <n v="57"/>
    <n v="22"/>
  </r>
  <r>
    <x v="4"/>
    <x v="2"/>
    <x v="8"/>
    <n v="50"/>
    <n v="17"/>
    <n v="33"/>
  </r>
  <r>
    <x v="4"/>
    <x v="2"/>
    <x v="9"/>
    <n v="366"/>
    <n v="139"/>
    <n v="227"/>
  </r>
  <r>
    <x v="4"/>
    <x v="2"/>
    <x v="10"/>
    <n v="32"/>
    <n v="19"/>
    <n v="13"/>
  </r>
  <r>
    <x v="4"/>
    <x v="2"/>
    <x v="14"/>
    <n v="153"/>
    <n v="88"/>
    <n v="65"/>
  </r>
  <r>
    <x v="4"/>
    <x v="3"/>
    <x v="0"/>
    <n v="39"/>
    <n v="3"/>
    <n v="36"/>
  </r>
  <r>
    <x v="4"/>
    <x v="3"/>
    <x v="1"/>
    <n v="256"/>
    <n v="47"/>
    <n v="209"/>
  </r>
  <r>
    <x v="4"/>
    <x v="3"/>
    <x v="4"/>
    <n v="37"/>
    <n v="5"/>
    <n v="32"/>
  </r>
  <r>
    <x v="4"/>
    <x v="4"/>
    <x v="12"/>
    <n v="34"/>
    <m/>
    <n v="34"/>
  </r>
  <r>
    <x v="4"/>
    <x v="4"/>
    <x v="13"/>
    <n v="4"/>
    <m/>
    <n v="4"/>
  </r>
  <r>
    <x v="4"/>
    <x v="4"/>
    <x v="0"/>
    <n v="689"/>
    <n v="26"/>
    <n v="663"/>
  </r>
  <r>
    <x v="4"/>
    <x v="4"/>
    <x v="1"/>
    <n v="1989"/>
    <n v="114"/>
    <n v="1875"/>
  </r>
  <r>
    <x v="4"/>
    <x v="4"/>
    <x v="2"/>
    <n v="74"/>
    <n v="2"/>
    <n v="72"/>
  </r>
  <r>
    <x v="4"/>
    <x v="4"/>
    <x v="3"/>
    <n v="153"/>
    <n v="2"/>
    <n v="151"/>
  </r>
  <r>
    <x v="4"/>
    <x v="4"/>
    <x v="4"/>
    <n v="603"/>
    <n v="31"/>
    <n v="572"/>
  </r>
  <r>
    <x v="5"/>
    <x v="0"/>
    <x v="12"/>
    <n v="1"/>
    <n v="1"/>
    <m/>
  </r>
  <r>
    <x v="5"/>
    <x v="0"/>
    <x v="0"/>
    <n v="27"/>
    <n v="21"/>
    <n v="6"/>
  </r>
  <r>
    <x v="5"/>
    <x v="0"/>
    <x v="1"/>
    <n v="124"/>
    <n v="103"/>
    <n v="21"/>
  </r>
  <r>
    <x v="5"/>
    <x v="0"/>
    <x v="2"/>
    <n v="4"/>
    <n v="3"/>
    <n v="1"/>
  </r>
  <r>
    <x v="5"/>
    <x v="0"/>
    <x v="3"/>
    <n v="9"/>
    <n v="8"/>
    <n v="1"/>
  </r>
  <r>
    <x v="5"/>
    <x v="0"/>
    <x v="4"/>
    <n v="42"/>
    <n v="36"/>
    <n v="6"/>
  </r>
  <r>
    <x v="5"/>
    <x v="1"/>
    <x v="0"/>
    <n v="533"/>
    <n v="20"/>
    <n v="513"/>
  </r>
  <r>
    <x v="5"/>
    <x v="1"/>
    <x v="1"/>
    <n v="2141"/>
    <n v="168"/>
    <n v="1973"/>
  </r>
  <r>
    <x v="5"/>
    <x v="1"/>
    <x v="4"/>
    <n v="279"/>
    <n v="14"/>
    <n v="265"/>
  </r>
  <r>
    <x v="5"/>
    <x v="2"/>
    <x v="5"/>
    <n v="170"/>
    <n v="159"/>
    <n v="11"/>
  </r>
  <r>
    <x v="5"/>
    <x v="2"/>
    <x v="6"/>
    <n v="3"/>
    <n v="2"/>
    <n v="1"/>
  </r>
  <r>
    <x v="5"/>
    <x v="2"/>
    <x v="7"/>
    <n v="84"/>
    <n v="58"/>
    <n v="26"/>
  </r>
  <r>
    <x v="5"/>
    <x v="2"/>
    <x v="8"/>
    <n v="49"/>
    <n v="15"/>
    <n v="34"/>
  </r>
  <r>
    <x v="5"/>
    <x v="2"/>
    <x v="9"/>
    <n v="388"/>
    <n v="146"/>
    <n v="242"/>
  </r>
  <r>
    <x v="5"/>
    <x v="2"/>
    <x v="10"/>
    <n v="34"/>
    <n v="21"/>
    <n v="13"/>
  </r>
  <r>
    <x v="5"/>
    <x v="2"/>
    <x v="14"/>
    <n v="64"/>
    <n v="26"/>
    <n v="38"/>
  </r>
  <r>
    <x v="5"/>
    <x v="3"/>
    <x v="0"/>
    <n v="40"/>
    <n v="3"/>
    <n v="37"/>
  </r>
  <r>
    <x v="5"/>
    <x v="3"/>
    <x v="1"/>
    <n v="240"/>
    <n v="46"/>
    <n v="194"/>
  </r>
  <r>
    <x v="5"/>
    <x v="3"/>
    <x v="4"/>
    <n v="37"/>
    <n v="5"/>
    <n v="32"/>
  </r>
  <r>
    <x v="5"/>
    <x v="4"/>
    <x v="12"/>
    <n v="33"/>
    <m/>
    <n v="33"/>
  </r>
  <r>
    <x v="5"/>
    <x v="4"/>
    <x v="13"/>
    <n v="4"/>
    <m/>
    <n v="4"/>
  </r>
  <r>
    <x v="5"/>
    <x v="4"/>
    <x v="0"/>
    <n v="687"/>
    <n v="27"/>
    <n v="660"/>
  </r>
  <r>
    <x v="5"/>
    <x v="4"/>
    <x v="1"/>
    <n v="2075"/>
    <n v="132"/>
    <n v="1943"/>
  </r>
  <r>
    <x v="5"/>
    <x v="4"/>
    <x v="2"/>
    <n v="80"/>
    <n v="2"/>
    <n v="78"/>
  </r>
  <r>
    <x v="5"/>
    <x v="4"/>
    <x v="3"/>
    <n v="147"/>
    <n v="2"/>
    <n v="145"/>
  </r>
  <r>
    <x v="5"/>
    <x v="4"/>
    <x v="4"/>
    <n v="611"/>
    <n v="33"/>
    <n v="57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pivotTable1.xml><?xml version="1.0" encoding="utf-8"?>
<pivotTableDefinition xmlns="http://schemas.openxmlformats.org/spreadsheetml/2006/main" name="PivotTable1" cacheId="20" applyNumberFormats="0" applyBorderFormats="0" applyFontFormats="0" applyPatternFormats="0" applyAlignmentFormats="0" applyWidthHeightFormats="1" dataCaption="Values" updatedVersion="5" minRefreshableVersion="3" useAutoFormatting="1" rowGrandTotals="0" itemPrintTitles="1" createdVersion="5" indent="0" outline="1" outlineData="1" multipleFieldFilters="0">
  <location ref="A4:P9" firstHeaderRow="1" firstDataRow="3" firstDataCol="1"/>
  <pivotFields count="4">
    <pivotField axis="axisRow" showAll="0">
      <items count="4">
        <item x="0"/>
        <item x="1"/>
        <item x="2"/>
        <item t="default"/>
      </items>
    </pivotField>
    <pivotField axis="axisCol" showAll="0" defaultSubtotal="0">
      <items count="6">
        <item x="0"/>
        <item m="1" x="5"/>
        <item x="1"/>
        <item m="1" x="4"/>
        <item x="2"/>
        <item x="3"/>
      </items>
    </pivotField>
    <pivotField axis="axisCol" showAll="0">
      <items count="8">
        <item x="2"/>
        <item x="0"/>
        <item x="1"/>
        <item x="3"/>
        <item m="1" x="6"/>
        <item x="4"/>
        <item x="5"/>
        <item t="default"/>
      </items>
    </pivotField>
    <pivotField dataField="1" showAll="0"/>
  </pivotFields>
  <rowFields count="1">
    <field x="0"/>
  </rowFields>
  <rowItems count="3">
    <i>
      <x/>
    </i>
    <i>
      <x v="1"/>
    </i>
    <i>
      <x v="2"/>
    </i>
  </rowItems>
  <colFields count="2">
    <field x="1"/>
    <field x="2"/>
  </colFields>
  <colItems count="15">
    <i>
      <x/>
      <x v="1"/>
    </i>
    <i r="1">
      <x v="2"/>
    </i>
    <i>
      <x v="2"/>
      <x/>
    </i>
    <i r="1">
      <x v="2"/>
    </i>
    <i r="1">
      <x v="3"/>
    </i>
    <i r="1">
      <x v="5"/>
    </i>
    <i r="1">
      <x v="6"/>
    </i>
    <i>
      <x v="4"/>
      <x/>
    </i>
    <i r="1">
      <x v="3"/>
    </i>
    <i r="1">
      <x v="5"/>
    </i>
    <i r="1">
      <x v="6"/>
    </i>
    <i>
      <x v="5"/>
      <x v="3"/>
    </i>
    <i r="1">
      <x v="5"/>
    </i>
    <i r="1">
      <x v="6"/>
    </i>
    <i t="grand">
      <x/>
    </i>
  </colItems>
  <dataFields count="1">
    <dataField name="Sum of 2017-18"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6" cacheId="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D34" firstHeaderRow="0" firstDataRow="1" firstDataCol="1" rowPageCount="1" colPageCount="1"/>
  <pivotFields count="8">
    <pivotField axis="axisPage" showAll="0">
      <items count="7">
        <item x="0"/>
        <item x="1"/>
        <item x="2"/>
        <item x="3"/>
        <item x="4"/>
        <item x="5"/>
        <item t="default"/>
      </items>
    </pivotField>
    <pivotField axis="axisRow" showAll="0">
      <items count="2">
        <item x="0"/>
        <item t="default"/>
      </items>
    </pivotField>
    <pivotField showAll="0"/>
    <pivotField axis="axisRow" showAll="0">
      <items count="33">
        <item x="19"/>
        <item x="20"/>
        <item x="26"/>
        <item x="21"/>
        <item x="22"/>
        <item x="0"/>
        <item x="1"/>
        <item x="27"/>
        <item x="2"/>
        <item x="29"/>
        <item x="3"/>
        <item x="4"/>
        <item x="6"/>
        <item x="31"/>
        <item x="30"/>
        <item x="7"/>
        <item x="8"/>
        <item x="9"/>
        <item x="10"/>
        <item x="5"/>
        <item x="11"/>
        <item x="28"/>
        <item x="12"/>
        <item x="13"/>
        <item x="23"/>
        <item x="14"/>
        <item x="15"/>
        <item x="16"/>
        <item x="17"/>
        <item x="18"/>
        <item x="24"/>
        <item x="25"/>
        <item t="default"/>
      </items>
    </pivotField>
    <pivotField showAll="0"/>
    <pivotField dataField="1" showAll="0"/>
    <pivotField dataField="1" showAll="0"/>
    <pivotField dataField="1" showAll="0"/>
  </pivotFields>
  <rowFields count="2">
    <field x="1"/>
    <field x="3"/>
  </rowFields>
  <rowItems count="31">
    <i>
      <x/>
    </i>
    <i r="1">
      <x/>
    </i>
    <i r="1">
      <x v="1"/>
    </i>
    <i r="1">
      <x v="2"/>
    </i>
    <i r="1">
      <x v="3"/>
    </i>
    <i r="1">
      <x v="4"/>
    </i>
    <i r="1">
      <x v="5"/>
    </i>
    <i r="1">
      <x v="6"/>
    </i>
    <i r="1">
      <x v="7"/>
    </i>
    <i r="1">
      <x v="8"/>
    </i>
    <i r="1">
      <x v="10"/>
    </i>
    <i r="1">
      <x v="12"/>
    </i>
    <i r="1">
      <x v="13"/>
    </i>
    <i r="1">
      <x v="15"/>
    </i>
    <i r="1">
      <x v="16"/>
    </i>
    <i r="1">
      <x v="17"/>
    </i>
    <i r="1">
      <x v="18"/>
    </i>
    <i r="1">
      <x v="19"/>
    </i>
    <i r="1">
      <x v="20"/>
    </i>
    <i r="1">
      <x v="21"/>
    </i>
    <i r="1">
      <x v="22"/>
    </i>
    <i r="1">
      <x v="23"/>
    </i>
    <i r="1">
      <x v="24"/>
    </i>
    <i r="1">
      <x v="25"/>
    </i>
    <i r="1">
      <x v="26"/>
    </i>
    <i r="1">
      <x v="27"/>
    </i>
    <i r="1">
      <x v="28"/>
    </i>
    <i r="1">
      <x v="29"/>
    </i>
    <i r="1">
      <x v="30"/>
    </i>
    <i r="1">
      <x v="31"/>
    </i>
    <i t="grand">
      <x/>
    </i>
  </rowItems>
  <colFields count="1">
    <field x="-2"/>
  </colFields>
  <colItems count="3">
    <i>
      <x/>
    </i>
    <i i="1">
      <x v="1"/>
    </i>
    <i i="2">
      <x v="2"/>
    </i>
  </colItems>
  <pageFields count="1">
    <pageField fld="0" item="5" hier="-1"/>
  </pageFields>
  <dataFields count="3">
    <dataField name="Sum of Watch Manager" fld="5" baseField="1" baseItem="0"/>
    <dataField name="Sum of Crew Manager" fld="6" baseField="0" baseItem="0"/>
    <dataField name="Sum of Firefighter"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5:D53" firstHeaderRow="0" firstDataRow="1" firstDataCol="1" rowPageCount="1" colPageCount="1"/>
  <pivotFields count="8">
    <pivotField axis="axisPage" showAll="0">
      <items count="7">
        <item x="0"/>
        <item x="1"/>
        <item x="2"/>
        <item x="3"/>
        <item x="4"/>
        <item x="5"/>
        <item t="default"/>
      </items>
    </pivotField>
    <pivotField axis="axisRow" showAll="0">
      <items count="2">
        <item x="0"/>
        <item t="default"/>
      </items>
    </pivotField>
    <pivotField showAll="0"/>
    <pivotField axis="axisRow" showAll="0">
      <items count="33">
        <item x="19"/>
        <item x="20"/>
        <item x="26"/>
        <item x="21"/>
        <item x="22"/>
        <item x="0"/>
        <item x="1"/>
        <item x="27"/>
        <item x="2"/>
        <item x="29"/>
        <item x="3"/>
        <item x="4"/>
        <item x="6"/>
        <item x="31"/>
        <item x="30"/>
        <item x="7"/>
        <item x="8"/>
        <item x="9"/>
        <item x="10"/>
        <item x="5"/>
        <item x="11"/>
        <item x="28"/>
        <item x="12"/>
        <item x="13"/>
        <item x="23"/>
        <item x="14"/>
        <item x="15"/>
        <item x="16"/>
        <item x="17"/>
        <item x="18"/>
        <item x="24"/>
        <item x="25"/>
        <item t="default"/>
      </items>
    </pivotField>
    <pivotField showAll="0"/>
    <pivotField dataField="1" showAll="0"/>
    <pivotField dataField="1" showAll="0"/>
    <pivotField dataField="1" showAll="0"/>
  </pivotFields>
  <rowFields count="2">
    <field x="1"/>
    <field x="3"/>
  </rowFields>
  <rowItems count="8">
    <i>
      <x/>
    </i>
    <i r="1">
      <x v="3"/>
    </i>
    <i r="1">
      <x v="6"/>
    </i>
    <i r="1">
      <x v="15"/>
    </i>
    <i r="1">
      <x v="20"/>
    </i>
    <i r="1">
      <x v="23"/>
    </i>
    <i r="1">
      <x v="28"/>
    </i>
    <i t="grand">
      <x/>
    </i>
  </rowItems>
  <colFields count="1">
    <field x="-2"/>
  </colFields>
  <colItems count="3">
    <i>
      <x/>
    </i>
    <i i="1">
      <x v="1"/>
    </i>
    <i i="2">
      <x v="2"/>
    </i>
  </colItems>
  <pageFields count="1">
    <pageField fld="0" item="5" hier="-1"/>
  </pageFields>
  <dataFields count="3">
    <dataField name="Sum of Watch Manager" fld="5" baseField="1" baseItem="0"/>
    <dataField name="Sum of Crew Manager" fld="6" baseField="1" baseItem="0"/>
    <dataField name="Sum of Firefighter" fld="7"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8" cacheId="2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24:I31" firstHeaderRow="0" firstDataRow="1" firstDataCol="1" rowPageCount="1" colPageCount="1"/>
  <pivotFields count="12">
    <pivotField axis="axisPage" showAll="0">
      <items count="7">
        <item x="0"/>
        <item x="1"/>
        <item x="2"/>
        <item x="3"/>
        <item x="4"/>
        <item x="5"/>
        <item t="default"/>
      </items>
    </pivotField>
    <pivotField axis="axisRow" showAll="0">
      <items count="3">
        <item x="0"/>
        <item x="1"/>
        <item t="default"/>
      </items>
    </pivotField>
    <pivotField showAll="0"/>
    <pivotField axis="axisRow" showAll="0">
      <items count="5">
        <item x="1"/>
        <item x="2"/>
        <item x="3"/>
        <item x="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1"/>
    <field x="3"/>
  </rowFields>
  <rowItems count="7">
    <i>
      <x/>
    </i>
    <i r="1">
      <x/>
    </i>
    <i r="1">
      <x v="1"/>
    </i>
    <i r="1">
      <x v="3"/>
    </i>
    <i>
      <x v="1"/>
    </i>
    <i r="1">
      <x v="2"/>
    </i>
    <i t="grand">
      <x/>
    </i>
  </rowItems>
  <colFields count="1">
    <field x="-2"/>
  </colFields>
  <colItems count="8">
    <i>
      <x/>
    </i>
    <i i="1">
      <x v="1"/>
    </i>
    <i i="2">
      <x v="2"/>
    </i>
    <i i="3">
      <x v="3"/>
    </i>
    <i i="4">
      <x v="4"/>
    </i>
    <i i="5">
      <x v="5"/>
    </i>
    <i i="6">
      <x v="6"/>
    </i>
    <i i="7">
      <x v="7"/>
    </i>
  </colItems>
  <pageFields count="1">
    <pageField fld="0" item="5" hier="-1"/>
  </pageFields>
  <dataFields count="8">
    <dataField name="Sum of Director" fld="5" baseField="3" baseItem="1"/>
    <dataField name="Sum of Service Manager" fld="6" baseField="0" baseItem="0"/>
    <dataField name="Sum of Team Leader" fld="7" baseField="0" baseItem="0"/>
    <dataField name="Sum of Professional" fld="8" baseField="0" baseItem="0"/>
    <dataField name="Sum of Specialist Technical" fld="9" baseField="0" baseItem="0"/>
    <dataField name="Sum of Tech Support" fld="10" baseField="0" baseItem="0"/>
    <dataField name="Sum of Administration" fld="11" baseField="3" baseItem="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7"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6" firstHeaderRow="0" firstDataRow="1" firstDataCol="1" rowPageCount="1" colPageCount="1"/>
  <pivotFields count="11">
    <pivotField axis="axisPage" showAll="0">
      <items count="7">
        <item x="0"/>
        <item x="1"/>
        <item x="2"/>
        <item x="3"/>
        <item x="4"/>
        <item x="5"/>
        <item t="default"/>
      </items>
    </pivotField>
    <pivotField axis="axisRow" showAll="0">
      <items count="2">
        <item x="0"/>
        <item t="default"/>
      </items>
    </pivotField>
    <pivotField axis="axisRow" showAll="0">
      <items count="2">
        <item x="0"/>
        <item t="default"/>
      </items>
    </pivotField>
    <pivotField showAll="0"/>
    <pivotField showAll="0"/>
    <pivotField dataField="1" showAll="0"/>
    <pivotField dataField="1" showAll="0" defaultSubtotal="0"/>
    <pivotField dataField="1" showAll="0" defaultSubtotal="0"/>
    <pivotField dataField="1" showAll="0"/>
    <pivotField dataField="1" showAll="0"/>
    <pivotField dataField="1" showAll="0"/>
  </pivotFields>
  <rowFields count="2">
    <field x="1"/>
    <field x="2"/>
  </rowFields>
  <rowItems count="3">
    <i>
      <x/>
    </i>
    <i r="1">
      <x/>
    </i>
    <i t="grand">
      <x/>
    </i>
  </rowItems>
  <colFields count="1">
    <field x="-2"/>
  </colFields>
  <colItems count="6">
    <i>
      <x/>
    </i>
    <i i="1">
      <x v="1"/>
    </i>
    <i i="2">
      <x v="2"/>
    </i>
    <i i="3">
      <x v="3"/>
    </i>
    <i i="4">
      <x v="4"/>
    </i>
    <i i="5">
      <x v="5"/>
    </i>
  </colItems>
  <pageFields count="1">
    <pageField fld="0" item="5" hier="-1"/>
  </pageFields>
  <dataFields count="6">
    <dataField name="Sum of Area Manager" fld="5" baseField="1" baseItem="0"/>
    <dataField name="Sum of Group Manager" fld="6" baseField="0" baseItem="0"/>
    <dataField name="Sum of Station Manager" fld="7" baseField="0" baseItem="0"/>
    <dataField name="Sum of Watch Manager" fld="8" baseField="0" baseItem="0"/>
    <dataField name="Sum of Crew Manager" fld="9" baseField="0" baseItem="0"/>
    <dataField name="Sum of Control Operator"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0" cacheId="2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I63" firstHeaderRow="0" firstDataRow="1" firstDataCol="1" rowPageCount="1" colPageCount="1"/>
  <pivotFields count="12">
    <pivotField axis="axisPage" showAll="0">
      <items count="7">
        <item x="0"/>
        <item x="1"/>
        <item x="2"/>
        <item x="3"/>
        <item x="4"/>
        <item x="5"/>
        <item t="default"/>
      </items>
    </pivotField>
    <pivotField axis="axisRow" showAll="0">
      <items count="7">
        <item x="0"/>
        <item x="1"/>
        <item x="2"/>
        <item x="3"/>
        <item x="5"/>
        <item x="4"/>
        <item t="default"/>
      </items>
    </pivotField>
    <pivotField showAll="0"/>
    <pivotField axis="axisRow" showAll="0">
      <items count="50">
        <item x="20"/>
        <item x="21"/>
        <item x="33"/>
        <item x="0"/>
        <item x="27"/>
        <item x="22"/>
        <item x="34"/>
        <item x="23"/>
        <item x="1"/>
        <item x="2"/>
        <item x="28"/>
        <item x="43"/>
        <item x="45"/>
        <item x="3"/>
        <item x="35"/>
        <item x="30"/>
        <item x="4"/>
        <item x="36"/>
        <item x="5"/>
        <item x="37"/>
        <item x="38"/>
        <item x="7"/>
        <item x="39"/>
        <item x="32"/>
        <item x="31"/>
        <item x="8"/>
        <item x="40"/>
        <item x="9"/>
        <item x="10"/>
        <item x="11"/>
        <item x="46"/>
        <item x="12"/>
        <item x="29"/>
        <item x="14"/>
        <item x="24"/>
        <item x="47"/>
        <item x="15"/>
        <item x="17"/>
        <item x="18"/>
        <item x="19"/>
        <item x="41"/>
        <item x="44"/>
        <item x="25"/>
        <item x="26"/>
        <item x="42"/>
        <item x="6"/>
        <item x="13"/>
        <item x="16"/>
        <item m="1" x="48"/>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1"/>
    <field x="3"/>
  </rowFields>
  <rowItems count="60">
    <i>
      <x/>
    </i>
    <i r="1">
      <x/>
    </i>
    <i r="1">
      <x v="1"/>
    </i>
    <i r="1">
      <x v="3"/>
    </i>
    <i r="1">
      <x v="4"/>
    </i>
    <i r="1">
      <x v="5"/>
    </i>
    <i r="1">
      <x v="7"/>
    </i>
    <i r="1">
      <x v="8"/>
    </i>
    <i r="1">
      <x v="9"/>
    </i>
    <i r="1">
      <x v="10"/>
    </i>
    <i r="1">
      <x v="13"/>
    </i>
    <i r="1">
      <x v="15"/>
    </i>
    <i r="1">
      <x v="16"/>
    </i>
    <i r="1">
      <x v="18"/>
    </i>
    <i r="1">
      <x v="21"/>
    </i>
    <i r="1">
      <x v="23"/>
    </i>
    <i r="1">
      <x v="24"/>
    </i>
    <i r="1">
      <x v="25"/>
    </i>
    <i r="1">
      <x v="27"/>
    </i>
    <i r="1">
      <x v="28"/>
    </i>
    <i r="1">
      <x v="29"/>
    </i>
    <i r="1">
      <x v="31"/>
    </i>
    <i r="1">
      <x v="32"/>
    </i>
    <i r="1">
      <x v="33"/>
    </i>
    <i r="1">
      <x v="34"/>
    </i>
    <i r="1">
      <x v="36"/>
    </i>
    <i r="1">
      <x v="37"/>
    </i>
    <i r="1">
      <x v="38"/>
    </i>
    <i r="1">
      <x v="39"/>
    </i>
    <i r="1">
      <x v="42"/>
    </i>
    <i r="1">
      <x v="43"/>
    </i>
    <i>
      <x v="1"/>
    </i>
    <i r="1">
      <x/>
    </i>
    <i r="1">
      <x v="2"/>
    </i>
    <i r="1">
      <x v="3"/>
    </i>
    <i r="1">
      <x v="6"/>
    </i>
    <i r="1">
      <x v="9"/>
    </i>
    <i r="1">
      <x v="11"/>
    </i>
    <i r="1">
      <x v="14"/>
    </i>
    <i r="1">
      <x v="17"/>
    </i>
    <i r="1">
      <x v="19"/>
    </i>
    <i r="1">
      <x v="20"/>
    </i>
    <i r="1">
      <x v="22"/>
    </i>
    <i r="1">
      <x v="23"/>
    </i>
    <i r="1">
      <x v="24"/>
    </i>
    <i r="1">
      <x v="26"/>
    </i>
    <i r="1">
      <x v="32"/>
    </i>
    <i r="1">
      <x v="38"/>
    </i>
    <i r="1">
      <x v="40"/>
    </i>
    <i r="1">
      <x v="44"/>
    </i>
    <i>
      <x v="2"/>
    </i>
    <i r="1">
      <x v="3"/>
    </i>
    <i r="1">
      <x v="12"/>
    </i>
    <i r="1">
      <x v="30"/>
    </i>
    <i r="1">
      <x v="41"/>
    </i>
    <i>
      <x v="3"/>
    </i>
    <i r="1">
      <x v="35"/>
    </i>
    <i>
      <x v="5"/>
    </i>
    <i r="1">
      <x v="35"/>
    </i>
    <i t="grand">
      <x/>
    </i>
  </rowItems>
  <colFields count="1">
    <field x="-2"/>
  </colFields>
  <colItems count="8">
    <i>
      <x/>
    </i>
    <i i="1">
      <x v="1"/>
    </i>
    <i i="2">
      <x v="2"/>
    </i>
    <i i="3">
      <x v="3"/>
    </i>
    <i i="4">
      <x v="4"/>
    </i>
    <i i="5">
      <x v="5"/>
    </i>
    <i i="6">
      <x v="6"/>
    </i>
    <i i="7">
      <x v="7"/>
    </i>
  </colItems>
  <pageFields count="1">
    <pageField fld="0" item="5" hier="-1"/>
  </pageFields>
  <dataFields count="8">
    <dataField name="Sum of Brigade Manager" fld="6" baseField="1" baseItem="0"/>
    <dataField name="Sum of Area Manager" fld="5" baseField="1" baseItem="0"/>
    <dataField name="Sum of Group Manager" fld="9" baseField="1" baseItem="0"/>
    <dataField name="Sum of Station Manager" fld="10" baseField="1" baseItem="0"/>
    <dataField name="Sum of Watch Manager" fld="11" baseField="1" baseItem="0"/>
    <dataField name="Sum of Crew Manager" fld="7" baseField="1" baseItem="0"/>
    <dataField name="Sum of Firefighter" fld="8" baseField="1" baseItem="0"/>
    <dataField name="Sum of Total" fld="4" baseField="3" baseItem="4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11" cacheId="3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E36" firstHeaderRow="0" firstDataRow="1" firstDataCol="1" rowPageCount="1" colPageCount="1"/>
  <pivotFields count="8">
    <pivotField axis="axisPage" multipleItemSelectionAllowed="1" showAll="0">
      <items count="7">
        <item h="1" x="0"/>
        <item h="1" x="1"/>
        <item h="1" x="2"/>
        <item h="1" x="3"/>
        <item h="1" x="4"/>
        <item x="5"/>
        <item t="default"/>
      </items>
    </pivotField>
    <pivotField axis="axisRow" showAll="0">
      <items count="2">
        <item x="0"/>
        <item t="default"/>
      </items>
    </pivotField>
    <pivotField showAll="0"/>
    <pivotField axis="axisRow" showAll="0">
      <items count="67">
        <item x="20"/>
        <item x="21"/>
        <item x="0"/>
        <item x="27"/>
        <item x="22"/>
        <item x="23"/>
        <item x="1"/>
        <item x="2"/>
        <item x="28"/>
        <item x="3"/>
        <item x="4"/>
        <item x="7"/>
        <item x="32"/>
        <item x="8"/>
        <item x="9"/>
        <item x="10"/>
        <item x="11"/>
        <item x="6"/>
        <item x="12"/>
        <item x="29"/>
        <item x="13"/>
        <item x="14"/>
        <item x="24"/>
        <item m="1" x="38"/>
        <item m="1" x="37"/>
        <item m="1" x="34"/>
        <item m="1" x="55"/>
        <item m="1" x="53"/>
        <item m="1" x="51"/>
        <item m="1" x="49"/>
        <item m="1" x="46"/>
        <item m="1" x="45"/>
        <item m="1" x="44"/>
        <item m="1" x="65"/>
        <item m="1" x="64"/>
        <item m="1" x="63"/>
        <item m="1" x="62"/>
        <item m="1" x="61"/>
        <item m="1" x="60"/>
        <item m="1" x="59"/>
        <item m="1" x="58"/>
        <item m="1" x="43"/>
        <item m="1" x="42"/>
        <item m="1" x="41"/>
        <item m="1" x="40"/>
        <item m="1" x="39"/>
        <item m="1" x="36"/>
        <item m="1" x="35"/>
        <item m="1" x="57"/>
        <item m="1" x="56"/>
        <item m="1" x="54"/>
        <item m="1" x="52"/>
        <item m="1" x="50"/>
        <item m="1" x="48"/>
        <item m="1" x="47"/>
        <item x="15"/>
        <item x="16"/>
        <item x="17"/>
        <item x="18"/>
        <item x="19"/>
        <item x="25"/>
        <item x="26"/>
        <item m="1" x="33"/>
        <item x="5"/>
        <item x="30"/>
        <item x="31"/>
        <item t="default"/>
      </items>
    </pivotField>
    <pivotField dataField="1" showAll="0"/>
    <pivotField dataField="1" showAll="0"/>
    <pivotField dataField="1" showAll="0"/>
    <pivotField dataField="1" showAll="0"/>
  </pivotFields>
  <rowFields count="2">
    <field x="1"/>
    <field x="3"/>
  </rowFields>
  <rowItems count="32">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55"/>
    </i>
    <i r="1">
      <x v="56"/>
    </i>
    <i r="1">
      <x v="57"/>
    </i>
    <i r="1">
      <x v="58"/>
    </i>
    <i r="1">
      <x v="59"/>
    </i>
    <i r="1">
      <x v="60"/>
    </i>
    <i r="1">
      <x v="61"/>
    </i>
    <i t="grand">
      <x/>
    </i>
  </rowItems>
  <colFields count="1">
    <field x="-2"/>
  </colFields>
  <colItems count="4">
    <i>
      <x/>
    </i>
    <i i="1">
      <x v="1"/>
    </i>
    <i i="2">
      <x v="2"/>
    </i>
    <i i="3">
      <x v="3"/>
    </i>
  </colItems>
  <pageFields count="1">
    <pageField fld="0" hier="-1"/>
  </pageFields>
  <dataFields count="4">
    <dataField name="Sum of Watch Manager" fld="5" baseField="1" baseItem="0"/>
    <dataField name="Sum of Crew Manager" fld="6" baseField="1" baseItem="0"/>
    <dataField name="Sum of Firefighter" fld="7" baseField="1" baseItem="0"/>
    <dataField name="Sum of Total" fld="4"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3" cacheId="7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0:I40" firstHeaderRow="0" firstDataRow="1" firstDataCol="1" rowPageCount="1" colPageCount="1"/>
  <pivotFields count="12">
    <pivotField axis="axisPage" showAll="0">
      <items count="7">
        <item x="0"/>
        <item x="1"/>
        <item x="2"/>
        <item x="3"/>
        <item x="4"/>
        <item x="5"/>
        <item t="default"/>
      </items>
    </pivotField>
    <pivotField axis="axisRow" showAll="0">
      <items count="4">
        <item x="0"/>
        <item x="1"/>
        <item x="2"/>
        <item t="default"/>
      </items>
    </pivotField>
    <pivotField showAll="0"/>
    <pivotField axis="axisRow" showAll="0">
      <items count="6">
        <item x="0"/>
        <item x="2"/>
        <item x="3"/>
        <item x="4"/>
        <item x="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1"/>
    <field x="3"/>
  </rowFields>
  <rowItems count="10">
    <i>
      <x/>
    </i>
    <i r="1">
      <x/>
    </i>
    <i r="1">
      <x v="1"/>
    </i>
    <i r="1">
      <x v="2"/>
    </i>
    <i r="1">
      <x v="4"/>
    </i>
    <i>
      <x v="1"/>
    </i>
    <i r="1">
      <x v="3"/>
    </i>
    <i>
      <x v="2"/>
    </i>
    <i r="1">
      <x v="3"/>
    </i>
    <i t="grand">
      <x/>
    </i>
  </rowItems>
  <colFields count="1">
    <field x="-2"/>
  </colFields>
  <colItems count="8">
    <i>
      <x/>
    </i>
    <i i="1">
      <x v="1"/>
    </i>
    <i i="2">
      <x v="2"/>
    </i>
    <i i="3">
      <x v="3"/>
    </i>
    <i i="4">
      <x v="4"/>
    </i>
    <i i="5">
      <x v="5"/>
    </i>
    <i i="6">
      <x v="6"/>
    </i>
    <i i="7">
      <x v="7"/>
    </i>
  </colItems>
  <pageFields count="1">
    <pageField fld="0" item="5" hier="-1"/>
  </pageFields>
  <dataFields count="8">
    <dataField name="Sum of Director" fld="5" baseField="1" baseItem="0"/>
    <dataField name="Sum of Service Manager" fld="6" baseField="0" baseItem="0"/>
    <dataField name="Sum of Team Leader" fld="7" baseField="0" baseItem="0"/>
    <dataField name="Sum of Professional" fld="8" baseField="0" baseItem="0"/>
    <dataField name="Sum of Specialist Technical" fld="9" baseField="0" baseItem="0"/>
    <dataField name="Sum of Tech Support" fld="10" baseField="0" baseItem="0"/>
    <dataField name="Sum of Administration" fld="11" baseField="0" baseItem="0"/>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4" cacheId="3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6" firstHeaderRow="0" firstDataRow="1" firstDataCol="1" rowPageCount="1" colPageCount="1"/>
  <pivotFields count="11">
    <pivotField axis="axisPage" showAll="0">
      <items count="7">
        <item x="0"/>
        <item x="1"/>
        <item x="2"/>
        <item x="3"/>
        <item x="4"/>
        <item x="5"/>
        <item t="default"/>
      </items>
    </pivotField>
    <pivotField axis="axisRow" showAll="0">
      <items count="2">
        <item x="0"/>
        <item t="default"/>
      </items>
    </pivotField>
    <pivotField axis="axisRow" showAll="0">
      <items count="2">
        <item x="0"/>
        <item t="default"/>
      </items>
    </pivotField>
    <pivotField showAll="0"/>
    <pivotField dataField="1" showAll="0"/>
    <pivotField dataField="1" showAll="0"/>
    <pivotField dataField="1" showAll="0"/>
    <pivotField dataField="1" showAll="0"/>
    <pivotField dataField="1" showAll="0"/>
    <pivotField dataField="1" showAll="0"/>
    <pivotField dataField="1" showAll="0"/>
  </pivotFields>
  <rowFields count="2">
    <field x="1"/>
    <field x="2"/>
  </rowFields>
  <rowItems count="3">
    <i>
      <x/>
    </i>
    <i r="1">
      <x/>
    </i>
    <i t="grand">
      <x/>
    </i>
  </rowItems>
  <colFields count="1">
    <field x="-2"/>
  </colFields>
  <colItems count="7">
    <i>
      <x/>
    </i>
    <i i="1">
      <x v="1"/>
    </i>
    <i i="2">
      <x v="2"/>
    </i>
    <i i="3">
      <x v="3"/>
    </i>
    <i i="4">
      <x v="4"/>
    </i>
    <i i="5">
      <x v="5"/>
    </i>
    <i i="6">
      <x v="6"/>
    </i>
  </colItems>
  <pageFields count="1">
    <pageField fld="0" item="5" hier="-1"/>
  </pageFields>
  <dataFields count="7">
    <dataField name="Sum of Area Manager" fld="5" baseField="1" baseItem="0"/>
    <dataField name="Sum of Group Manager" fld="6" baseField="0" baseItem="0"/>
    <dataField name="Sum of Station Manager" fld="7" baseField="0" baseItem="0"/>
    <dataField name="Sum of Watch Manager" fld="8" baseField="0" baseItem="0"/>
    <dataField name="Sum of Crew Manager" fld="9" baseField="0" baseItem="0"/>
    <dataField name="Sum of Control Operator" fld="10" baseField="0" baseItem="0"/>
    <dataField name="Sum of Total" fld="4"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15" cacheId="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D36" firstHeaderRow="0" firstDataRow="1" firstDataCol="1" rowPageCount="1" colPageCount="1"/>
  <pivotFields count="6">
    <pivotField axis="axisPage" showAll="0">
      <items count="7">
        <item x="0"/>
        <item x="1"/>
        <item x="2"/>
        <item x="3"/>
        <item x="4"/>
        <item x="5"/>
        <item t="default"/>
      </items>
    </pivotField>
    <pivotField axis="axisRow" showAll="0">
      <items count="6">
        <item x="0"/>
        <item x="1"/>
        <item x="2"/>
        <item x="3"/>
        <item x="4"/>
        <item t="default"/>
      </items>
    </pivotField>
    <pivotField axis="axisRow" showAll="0">
      <items count="17">
        <item x="5"/>
        <item x="12"/>
        <item x="13"/>
        <item m="1" x="15"/>
        <item x="0"/>
        <item x="6"/>
        <item x="1"/>
        <item x="2"/>
        <item x="7"/>
        <item x="8"/>
        <item x="9"/>
        <item x="3"/>
        <item x="10"/>
        <item x="14"/>
        <item x="11"/>
        <item x="4"/>
        <item t="default"/>
      </items>
    </pivotField>
    <pivotField dataField="1" showAll="0"/>
    <pivotField dataField="1" showAll="0"/>
    <pivotField dataField="1" showAll="0"/>
  </pivotFields>
  <rowFields count="2">
    <field x="1"/>
    <field x="2"/>
  </rowFields>
  <rowItems count="32">
    <i>
      <x/>
    </i>
    <i r="1">
      <x v="1"/>
    </i>
    <i r="1">
      <x v="4"/>
    </i>
    <i r="1">
      <x v="6"/>
    </i>
    <i r="1">
      <x v="7"/>
    </i>
    <i r="1">
      <x v="11"/>
    </i>
    <i r="1">
      <x v="15"/>
    </i>
    <i>
      <x v="1"/>
    </i>
    <i r="1">
      <x v="4"/>
    </i>
    <i r="1">
      <x v="6"/>
    </i>
    <i r="1">
      <x v="15"/>
    </i>
    <i>
      <x v="2"/>
    </i>
    <i r="1">
      <x/>
    </i>
    <i r="1">
      <x v="5"/>
    </i>
    <i r="1">
      <x v="8"/>
    </i>
    <i r="1">
      <x v="9"/>
    </i>
    <i r="1">
      <x v="10"/>
    </i>
    <i r="1">
      <x v="12"/>
    </i>
    <i r="1">
      <x v="13"/>
    </i>
    <i>
      <x v="3"/>
    </i>
    <i r="1">
      <x v="4"/>
    </i>
    <i r="1">
      <x v="6"/>
    </i>
    <i r="1">
      <x v="15"/>
    </i>
    <i>
      <x v="4"/>
    </i>
    <i r="1">
      <x v="1"/>
    </i>
    <i r="1">
      <x v="2"/>
    </i>
    <i r="1">
      <x v="4"/>
    </i>
    <i r="1">
      <x v="6"/>
    </i>
    <i r="1">
      <x v="7"/>
    </i>
    <i r="1">
      <x v="11"/>
    </i>
    <i r="1">
      <x v="15"/>
    </i>
    <i t="grand">
      <x/>
    </i>
  </rowItems>
  <colFields count="1">
    <field x="-2"/>
  </colFields>
  <colItems count="3">
    <i>
      <x/>
    </i>
    <i i="1">
      <x v="1"/>
    </i>
    <i i="2">
      <x v="2"/>
    </i>
  </colItems>
  <pageFields count="1">
    <pageField fld="0" item="5" hier="-1"/>
  </pageFields>
  <dataFields count="3">
    <dataField name="Sum of Female" fld="4" baseField="1" baseItem="0"/>
    <dataField name="Sum of Male" fld="5" baseField="1" baseItem="0"/>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16" cacheId="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D10" firstHeaderRow="0" firstDataRow="1" firstDataCol="1" rowPageCount="1" colPageCount="1"/>
  <pivotFields count="5">
    <pivotField axis="axisPage" showAll="0">
      <items count="7">
        <item x="0"/>
        <item x="1"/>
        <item x="2"/>
        <item x="3"/>
        <item x="4"/>
        <item x="5"/>
        <item t="default"/>
      </items>
    </pivotField>
    <pivotField axis="axisRow" showAll="0">
      <items count="6">
        <item x="0"/>
        <item x="1"/>
        <item x="2"/>
        <item x="3"/>
        <item x="4"/>
        <item t="default"/>
      </items>
    </pivotField>
    <pivotField dataField="1" showAll="0"/>
    <pivotField dataField="1" showAll="0"/>
    <pivotField dataField="1" showAll="0"/>
  </pivotFields>
  <rowFields count="1">
    <field x="1"/>
  </rowFields>
  <rowItems count="6">
    <i>
      <x/>
    </i>
    <i>
      <x v="1"/>
    </i>
    <i>
      <x v="2"/>
    </i>
    <i>
      <x v="3"/>
    </i>
    <i>
      <x v="4"/>
    </i>
    <i t="grand">
      <x/>
    </i>
  </rowItems>
  <colFields count="1">
    <field x="-2"/>
  </colFields>
  <colItems count="3">
    <i>
      <x/>
    </i>
    <i i="1">
      <x v="1"/>
    </i>
    <i i="2">
      <x v="2"/>
    </i>
  </colItems>
  <pageFields count="1">
    <pageField fld="0" item="5" hier="-1"/>
  </pageFields>
  <dataFields count="3">
    <dataField name="Sum of Female" fld="3" baseField="0" baseItem="0"/>
    <dataField name="Sum of Male" fld="4" baseField="0"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21" applyNumberFormats="0" applyBorderFormats="0" applyFontFormats="0" applyPatternFormats="0" applyAlignmentFormats="0" applyWidthHeightFormats="1" dataCaption="Values" updatedVersion="5" minRefreshableVersion="3" useAutoFormatting="1" rowGrandTotals="0" itemPrintTitles="1" createdVersion="5" indent="0" outline="1" outlineData="1" multipleFieldFilters="0">
  <location ref="A20:W25" firstHeaderRow="1" firstDataRow="3" firstDataCol="1"/>
  <pivotFields count="4">
    <pivotField axis="axisRow" showAll="0">
      <items count="4">
        <item x="0"/>
        <item x="1"/>
        <item x="2"/>
        <item t="default"/>
      </items>
    </pivotField>
    <pivotField axis="axisCol" showAll="0" defaultSubtotal="0">
      <items count="6">
        <item x="0"/>
        <item m="1" x="5"/>
        <item x="1"/>
        <item m="1" x="4"/>
        <item x="2"/>
        <item x="3"/>
      </items>
    </pivotField>
    <pivotField axis="axisCol" showAll="0">
      <items count="9">
        <item x="1"/>
        <item x="2"/>
        <item x="0"/>
        <item x="3"/>
        <item x="4"/>
        <item x="5"/>
        <item x="6"/>
        <item x="7"/>
        <item t="default"/>
      </items>
    </pivotField>
    <pivotField dataField="1" showAll="0"/>
  </pivotFields>
  <rowFields count="1">
    <field x="0"/>
  </rowFields>
  <rowItems count="3">
    <i>
      <x/>
    </i>
    <i>
      <x v="1"/>
    </i>
    <i>
      <x v="2"/>
    </i>
  </rowItems>
  <colFields count="2">
    <field x="1"/>
    <field x="2"/>
  </colFields>
  <colItems count="22">
    <i>
      <x/>
      <x v="2"/>
    </i>
    <i>
      <x v="2"/>
      <x/>
    </i>
    <i r="1">
      <x v="1"/>
    </i>
    <i r="1">
      <x v="3"/>
    </i>
    <i r="1">
      <x v="4"/>
    </i>
    <i r="1">
      <x v="5"/>
    </i>
    <i r="1">
      <x v="6"/>
    </i>
    <i r="1">
      <x v="7"/>
    </i>
    <i>
      <x v="4"/>
      <x/>
    </i>
    <i r="1">
      <x v="1"/>
    </i>
    <i r="1">
      <x v="3"/>
    </i>
    <i r="1">
      <x v="4"/>
    </i>
    <i r="1">
      <x v="5"/>
    </i>
    <i r="1">
      <x v="6"/>
    </i>
    <i r="1">
      <x v="7"/>
    </i>
    <i>
      <x v="5"/>
      <x v="1"/>
    </i>
    <i r="1">
      <x v="3"/>
    </i>
    <i r="1">
      <x v="4"/>
    </i>
    <i r="1">
      <x v="5"/>
    </i>
    <i r="1">
      <x v="6"/>
    </i>
    <i r="1">
      <x v="7"/>
    </i>
    <i t="grand">
      <x/>
    </i>
  </colItems>
  <dataFields count="1">
    <dataField name="Sum of 2016-17"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17" cacheId="2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D31" firstHeaderRow="0" firstDataRow="1" firstDataCol="1" rowPageCount="1" colPageCount="1"/>
  <pivotFields count="6">
    <pivotField axis="axisPage" showAll="0">
      <items count="6">
        <item x="0"/>
        <item x="1"/>
        <item x="2"/>
        <item x="3"/>
        <item x="4"/>
        <item t="default"/>
      </items>
    </pivotField>
    <pivotField axis="axisRow" showAll="0">
      <items count="5">
        <item x="0"/>
        <item x="1"/>
        <item x="2"/>
        <item x="3"/>
        <item t="default"/>
      </items>
    </pivotField>
    <pivotField axis="axisRow" showAll="0">
      <items count="15">
        <item x="5"/>
        <item x="12"/>
        <item x="13"/>
        <item x="0"/>
        <item x="6"/>
        <item x="1"/>
        <item x="2"/>
        <item x="7"/>
        <item x="8"/>
        <item x="9"/>
        <item x="3"/>
        <item x="10"/>
        <item x="11"/>
        <item x="4"/>
        <item t="default"/>
      </items>
    </pivotField>
    <pivotField dataField="1" showAll="0"/>
    <pivotField dataField="1" showAll="0"/>
    <pivotField dataField="1" showAll="0"/>
  </pivotFields>
  <rowFields count="2">
    <field x="1"/>
    <field x="2"/>
  </rowFields>
  <rowItems count="28">
    <i>
      <x/>
    </i>
    <i r="1">
      <x v="1"/>
    </i>
    <i r="1">
      <x v="3"/>
    </i>
    <i r="1">
      <x v="5"/>
    </i>
    <i r="1">
      <x v="6"/>
    </i>
    <i r="1">
      <x v="10"/>
    </i>
    <i r="1">
      <x v="13"/>
    </i>
    <i>
      <x v="1"/>
    </i>
    <i r="1">
      <x v="3"/>
    </i>
    <i r="1">
      <x v="5"/>
    </i>
    <i r="1">
      <x v="13"/>
    </i>
    <i>
      <x v="2"/>
    </i>
    <i r="1">
      <x/>
    </i>
    <i r="1">
      <x v="4"/>
    </i>
    <i r="1">
      <x v="7"/>
    </i>
    <i r="1">
      <x v="8"/>
    </i>
    <i r="1">
      <x v="9"/>
    </i>
    <i r="1">
      <x v="11"/>
    </i>
    <i r="1">
      <x v="12"/>
    </i>
    <i>
      <x v="3"/>
    </i>
    <i r="1">
      <x v="1"/>
    </i>
    <i r="1">
      <x v="2"/>
    </i>
    <i r="1">
      <x v="3"/>
    </i>
    <i r="1">
      <x v="5"/>
    </i>
    <i r="1">
      <x v="6"/>
    </i>
    <i r="1">
      <x v="10"/>
    </i>
    <i r="1">
      <x v="13"/>
    </i>
    <i t="grand">
      <x/>
    </i>
  </rowItems>
  <colFields count="1">
    <field x="-2"/>
  </colFields>
  <colItems count="3">
    <i>
      <x/>
    </i>
    <i i="1">
      <x v="1"/>
    </i>
    <i i="2">
      <x v="2"/>
    </i>
  </colItems>
  <pageFields count="1">
    <pageField fld="0" item="4" hier="-1"/>
  </pageFields>
  <dataFields count="3">
    <dataField name="Sum of Female" fld="4" baseField="1" baseItem="0"/>
    <dataField name="Sum of Male" fld="5" baseField="1" baseItem="0"/>
    <dataField name="Sum of Total" fld="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18" cacheId="1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G17" firstHeaderRow="0" firstDataRow="1" firstDataCol="1" rowPageCount="1" colPageCount="1"/>
  <pivotFields count="8">
    <pivotField axis="axisPage" showAll="0">
      <items count="7">
        <item x="0"/>
        <item x="1"/>
        <item x="2"/>
        <item x="3"/>
        <item x="4"/>
        <item x="5"/>
        <item t="default"/>
      </items>
    </pivotField>
    <pivotField axis="axisRow" showAll="0">
      <items count="18">
        <item x="8"/>
        <item x="0"/>
        <item x="9"/>
        <item x="10"/>
        <item x="1"/>
        <item x="11"/>
        <item x="2"/>
        <item x="3"/>
        <item x="4"/>
        <item x="12"/>
        <item x="5"/>
        <item x="13"/>
        <item x="14"/>
        <item x="6"/>
        <item x="15"/>
        <item x="16"/>
        <item x="7"/>
        <item t="default"/>
      </items>
    </pivotField>
    <pivotField dataField="1" showAll="0"/>
    <pivotField dataField="1" showAll="0"/>
    <pivotField dataField="1" showAll="0"/>
    <pivotField dataField="1" showAll="0"/>
    <pivotField dataField="1" showAll="0"/>
    <pivotField dataField="1" showAll="0"/>
  </pivotFields>
  <rowFields count="1">
    <field x="1"/>
  </rowFields>
  <rowItems count="13">
    <i>
      <x/>
    </i>
    <i>
      <x v="2"/>
    </i>
    <i>
      <x v="3"/>
    </i>
    <i>
      <x v="5"/>
    </i>
    <i>
      <x v="6"/>
    </i>
    <i>
      <x v="7"/>
    </i>
    <i>
      <x v="8"/>
    </i>
    <i>
      <x v="9"/>
    </i>
    <i>
      <x v="11"/>
    </i>
    <i>
      <x v="12"/>
    </i>
    <i>
      <x v="14"/>
    </i>
    <i>
      <x v="16"/>
    </i>
    <i t="grand">
      <x/>
    </i>
  </rowItems>
  <colFields count="1">
    <field x="-2"/>
  </colFields>
  <colItems count="6">
    <i>
      <x/>
    </i>
    <i i="1">
      <x v="1"/>
    </i>
    <i i="2">
      <x v="2"/>
    </i>
    <i i="3">
      <x v="3"/>
    </i>
    <i i="4">
      <x v="4"/>
    </i>
    <i i="5">
      <x v="5"/>
    </i>
  </colItems>
  <pageFields count="1">
    <pageField fld="0" item="5" hier="-1"/>
  </pageFields>
  <dataFields count="6">
    <dataField name="Sum of WT" fld="3" baseField="1" baseItem="0"/>
    <dataField name="Sum of RDS" fld="4" baseField="1" baseItem="0"/>
    <dataField name="Sum of Control" fld="5" baseField="1" baseItem="0"/>
    <dataField name="Sum of Support" fld="6" baseField="1" baseItem="0"/>
    <dataField name="Sum of Vol" fld="7" baseField="1"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19" cacheId="1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E14" firstHeaderRow="0" firstDataRow="1" firstDataCol="1" rowPageCount="1" colPageCount="1"/>
  <pivotFields count="7">
    <pivotField axis="axisPage" showAll="0">
      <items count="3">
        <item x="0"/>
        <item x="1"/>
        <item t="default"/>
      </items>
    </pivotField>
    <pivotField axis="axisRow" showAll="0">
      <items count="10">
        <item x="0"/>
        <item x="1"/>
        <item x="2"/>
        <item x="3"/>
        <item x="4"/>
        <item x="5"/>
        <item x="6"/>
        <item x="7"/>
        <item x="8"/>
        <item t="default"/>
      </items>
    </pivotField>
    <pivotField showAll="0"/>
    <pivotField dataField="1" showAll="0"/>
    <pivotField dataField="1" showAll="0"/>
    <pivotField dataField="1" showAll="0"/>
    <pivotField dataField="1" showAll="0"/>
  </pivotFields>
  <rowFields count="1">
    <field x="1"/>
  </rowFields>
  <rowItems count="10">
    <i>
      <x/>
    </i>
    <i>
      <x v="1"/>
    </i>
    <i>
      <x v="2"/>
    </i>
    <i>
      <x v="3"/>
    </i>
    <i>
      <x v="4"/>
    </i>
    <i>
      <x v="5"/>
    </i>
    <i>
      <x v="6"/>
    </i>
    <i>
      <x v="7"/>
    </i>
    <i>
      <x v="8"/>
    </i>
    <i t="grand">
      <x/>
    </i>
  </rowItems>
  <colFields count="1">
    <field x="-2"/>
  </colFields>
  <colItems count="4">
    <i>
      <x/>
    </i>
    <i i="1">
      <x v="1"/>
    </i>
    <i i="2">
      <x v="2"/>
    </i>
    <i i="3">
      <x v="3"/>
    </i>
  </colItems>
  <pageFields count="1">
    <pageField fld="0" item="1" hier="-1"/>
  </pageFields>
  <dataFields count="4">
    <dataField name="Sum of WT" fld="6" baseField="0" baseItem="0"/>
    <dataField name="Sum of RDS" fld="4" baseField="0" baseItem="0"/>
    <dataField name="Sum of Control" fld="3" baseField="0" baseItem="0"/>
    <dataField name="Sum of Vol"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20" cacheId="12" applyNumberFormats="0" applyBorderFormats="0" applyFontFormats="0" applyPatternFormats="0" applyAlignmentFormats="0" applyWidthHeightFormats="1" dataCaption="Values" updatedVersion="5" minRefreshableVersion="3" useAutoFormatting="1" colGrandTotals="0" itemPrintTitles="1" createdVersion="5" indent="0" outline="1" outlineData="1" multipleFieldFilters="0">
  <location ref="A4:V15" firstHeaderRow="1" firstDataRow="3" firstDataCol="1"/>
  <pivotFields count="5">
    <pivotField axis="axisRow" showAll="0">
      <items count="9">
        <item x="0"/>
        <item x="1"/>
        <item x="2"/>
        <item x="3"/>
        <item x="4"/>
        <item x="5"/>
        <item x="6"/>
        <item x="7"/>
        <item t="default"/>
      </items>
    </pivotField>
    <pivotField axis="axisCol" showAll="0">
      <items count="8">
        <item x="0"/>
        <item x="1"/>
        <item x="2"/>
        <item x="3"/>
        <item x="4"/>
        <item x="5"/>
        <item x="6"/>
        <item t="default"/>
      </items>
    </pivotField>
    <pivotField dataField="1" showAll="0"/>
    <pivotField dataField="1" showAll="0"/>
    <pivotField dataField="1" showAll="0"/>
  </pivotFields>
  <rowFields count="1">
    <field x="0"/>
  </rowFields>
  <rowItems count="9">
    <i>
      <x/>
    </i>
    <i>
      <x v="1"/>
    </i>
    <i>
      <x v="2"/>
    </i>
    <i>
      <x v="3"/>
    </i>
    <i>
      <x v="4"/>
    </i>
    <i>
      <x v="5"/>
    </i>
    <i>
      <x v="6"/>
    </i>
    <i>
      <x v="7"/>
    </i>
    <i t="grand">
      <x/>
    </i>
  </rowItems>
  <colFields count="2">
    <field x="1"/>
    <field x="-2"/>
  </colFields>
  <colItems count="21">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colItems>
  <dataFields count="3">
    <dataField name="Sum of White" fld="2" baseField="0" baseItem="0"/>
    <dataField name="Sum of Ethnic Minority" fld="3" baseField="0" baseItem="0"/>
    <dataField name="Sum of Not Stated"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21" cacheId="1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5:E38" firstHeaderRow="0" firstDataRow="1" firstDataCol="1" rowPageCount="1" colPageCount="1"/>
  <pivotFields count="7">
    <pivotField axis="axisPage" showAll="0">
      <items count="6">
        <item x="0"/>
        <item x="1"/>
        <item x="2"/>
        <item x="3"/>
        <item x="4"/>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4">
    <i>
      <x/>
    </i>
    <i i="1">
      <x v="1"/>
    </i>
    <i i="2">
      <x v="2"/>
    </i>
    <i i="3">
      <x v="3"/>
    </i>
  </colItems>
  <pageFields count="1">
    <pageField fld="0" item="4" hier="-1"/>
  </pageFields>
  <dataFields count="4">
    <dataField name="Sum of Wholetime" fld="3" baseField="1" baseItem="0"/>
    <dataField name="Sum of Retained" fld="4" baseField="1" baseItem="0"/>
    <dataField name="Sum of Volunteer" fld="5" baseField="1" baseItem="0"/>
    <dataField name="Sum of Total"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22" cacheId="1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1:G74" firstHeaderRow="0" firstDataRow="1" firstDataCol="1" rowPageCount="1" colPageCount="1"/>
  <pivotFields count="9">
    <pivotField axis="axisPage" showAll="0">
      <items count="2">
        <item x="0"/>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6">
    <i>
      <x/>
    </i>
    <i i="1">
      <x v="1"/>
    </i>
    <i i="2">
      <x v="2"/>
    </i>
    <i i="3">
      <x v="3"/>
    </i>
    <i i="4">
      <x v="4"/>
    </i>
    <i i="5">
      <x v="5"/>
    </i>
  </colItems>
  <pageFields count="1">
    <pageField fld="0" hier="-1"/>
  </pageFields>
  <dataFields count="6">
    <dataField name="Sum of Wholetime" fld="6" baseField="1" baseItem="0"/>
    <dataField name="Sum of Wholetime and Retained" fld="8" baseField="1" baseItem="0"/>
    <dataField name="Sum of Wholetime and Day" fld="7" baseField="1" baseItem="0"/>
    <dataField name="Sum of Volunteer" fld="5" baseField="1" baseItem="0"/>
    <dataField name="Sum of Retained" fld="4" baseField="1" baseItem="0"/>
    <dataField name="Sum of Total" fld="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20:U32" firstHeaderRow="1" firstDataRow="4" firstDataCol="1"/>
  <pivotFields count="8">
    <pivotField axis="axisCol" showAll="0">
      <items count="2">
        <item x="0"/>
        <item t="default"/>
      </items>
    </pivotField>
    <pivotField axis="axisCol" showAll="0">
      <items count="3">
        <item x="1"/>
        <item x="0"/>
        <item t="default"/>
      </items>
    </pivotField>
    <pivotField axis="axisRow" showAll="0">
      <items count="9">
        <item x="0"/>
        <item x="1"/>
        <item x="2"/>
        <item x="3"/>
        <item x="4"/>
        <item x="5"/>
        <item x="6"/>
        <item x="7"/>
        <item t="default"/>
      </items>
    </pivotField>
    <pivotField dataField="1" showAll="0"/>
    <pivotField dataField="1" showAll="0"/>
    <pivotField dataField="1" showAll="0"/>
    <pivotField dataField="1" showAll="0"/>
    <pivotField dataField="1" showAll="0"/>
  </pivotFields>
  <rowFields count="1">
    <field x="2"/>
  </rowFields>
  <rowItems count="9">
    <i>
      <x/>
    </i>
    <i>
      <x v="1"/>
    </i>
    <i>
      <x v="2"/>
    </i>
    <i>
      <x v="3"/>
    </i>
    <i>
      <x v="4"/>
    </i>
    <i>
      <x v="5"/>
    </i>
    <i>
      <x v="6"/>
    </i>
    <i>
      <x v="7"/>
    </i>
    <i t="grand">
      <x/>
    </i>
  </rowItems>
  <colFields count="3">
    <field x="0"/>
    <field x="1"/>
    <field x="-2"/>
  </colFields>
  <colItems count="20">
    <i>
      <x/>
      <x/>
      <x/>
    </i>
    <i r="2" i="1">
      <x v="1"/>
    </i>
    <i r="2" i="2">
      <x v="2"/>
    </i>
    <i r="2" i="3">
      <x v="3"/>
    </i>
    <i r="2" i="4">
      <x v="4"/>
    </i>
    <i r="1">
      <x v="1"/>
      <x/>
    </i>
    <i r="2" i="1">
      <x v="1"/>
    </i>
    <i r="2" i="2">
      <x v="2"/>
    </i>
    <i r="2" i="3">
      <x v="3"/>
    </i>
    <i r="2" i="4">
      <x v="4"/>
    </i>
    <i t="default">
      <x/>
    </i>
    <i t="default" i="1">
      <x/>
    </i>
    <i t="default" i="2">
      <x/>
    </i>
    <i t="default" i="3">
      <x/>
    </i>
    <i t="default" i="4">
      <x/>
    </i>
    <i t="grand">
      <x/>
    </i>
    <i t="grand" i="1">
      <x/>
    </i>
    <i t="grand" i="2">
      <x/>
    </i>
    <i t="grand" i="3">
      <x/>
    </i>
    <i t="grand" i="4">
      <x/>
    </i>
  </colItems>
  <dataFields count="5">
    <dataField name="Sum of Objects thrown at firefighters/appliances" fld="3" baseField="2" baseItem="0"/>
    <dataField name="Sum of Physical abuse" fld="4" baseField="2" baseItem="0"/>
    <dataField name="Sum of Verbal abuse" fld="5" baseField="2" baseItem="0"/>
    <dataField name="Sum of Other acts of aggression" fld="6" baseField="2" baseItem="0"/>
    <dataField name="Sum of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26"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AJ17" firstHeaderRow="1" firstDataRow="4" firstDataCol="1"/>
  <pivotFields count="8">
    <pivotField axis="axisCol" showAll="0">
      <items count="4">
        <item x="0"/>
        <item m="1" x="2"/>
        <item x="1"/>
        <item t="default"/>
      </items>
    </pivotField>
    <pivotField axis="axisCol" showAll="0">
      <items count="4">
        <item x="1"/>
        <item x="0"/>
        <item x="2"/>
        <item t="default"/>
      </items>
    </pivotField>
    <pivotField axis="axisRow" showAll="0">
      <items count="10">
        <item x="0"/>
        <item x="1"/>
        <item x="2"/>
        <item x="3"/>
        <item x="4"/>
        <item x="5"/>
        <item x="6"/>
        <item x="7"/>
        <item x="8"/>
        <item t="default"/>
      </items>
    </pivotField>
    <pivotField dataField="1" showAll="0"/>
    <pivotField dataField="1" showAll="0"/>
    <pivotField dataField="1" showAll="0"/>
    <pivotField dataField="1" showAll="0"/>
    <pivotField dataField="1" showAll="0"/>
  </pivotFields>
  <rowFields count="1">
    <field x="2"/>
  </rowFields>
  <rowItems count="10">
    <i>
      <x/>
    </i>
    <i>
      <x v="1"/>
    </i>
    <i>
      <x v="2"/>
    </i>
    <i>
      <x v="3"/>
    </i>
    <i>
      <x v="4"/>
    </i>
    <i>
      <x v="5"/>
    </i>
    <i>
      <x v="6"/>
    </i>
    <i>
      <x v="7"/>
    </i>
    <i>
      <x v="8"/>
    </i>
    <i t="grand">
      <x/>
    </i>
  </rowItems>
  <colFields count="3">
    <field x="1"/>
    <field x="0"/>
    <field x="-2"/>
  </colFields>
  <colItems count="35">
    <i>
      <x/>
      <x/>
      <x/>
    </i>
    <i r="2" i="1">
      <x v="1"/>
    </i>
    <i r="2" i="2">
      <x v="2"/>
    </i>
    <i r="2" i="3">
      <x v="3"/>
    </i>
    <i r="2" i="4">
      <x v="4"/>
    </i>
    <i t="default">
      <x/>
    </i>
    <i t="default" i="1">
      <x/>
    </i>
    <i t="default" i="2">
      <x/>
    </i>
    <i t="default" i="3">
      <x/>
    </i>
    <i t="default" i="4">
      <x/>
    </i>
    <i>
      <x v="1"/>
      <x/>
      <x/>
    </i>
    <i r="2" i="1">
      <x v="1"/>
    </i>
    <i r="2" i="2">
      <x v="2"/>
    </i>
    <i r="2" i="3">
      <x v="3"/>
    </i>
    <i r="2" i="4">
      <x v="4"/>
    </i>
    <i t="default">
      <x v="1"/>
    </i>
    <i t="default" i="1">
      <x v="1"/>
    </i>
    <i t="default" i="2">
      <x v="1"/>
    </i>
    <i t="default" i="3">
      <x v="1"/>
    </i>
    <i t="default" i="4">
      <x v="1"/>
    </i>
    <i>
      <x v="2"/>
      <x v="2"/>
      <x/>
    </i>
    <i r="2" i="1">
      <x v="1"/>
    </i>
    <i r="2" i="2">
      <x v="2"/>
    </i>
    <i r="2" i="3">
      <x v="3"/>
    </i>
    <i r="2" i="4">
      <x v="4"/>
    </i>
    <i t="default">
      <x v="2"/>
    </i>
    <i t="default" i="1">
      <x v="2"/>
    </i>
    <i t="default" i="2">
      <x v="2"/>
    </i>
    <i t="default" i="3">
      <x v="2"/>
    </i>
    <i t="default" i="4">
      <x v="2"/>
    </i>
    <i t="grand">
      <x/>
    </i>
    <i t="grand" i="1">
      <x/>
    </i>
    <i t="grand" i="2">
      <x/>
    </i>
    <i t="grand" i="3">
      <x/>
    </i>
    <i t="grand" i="4">
      <x/>
    </i>
  </colItems>
  <dataFields count="5">
    <dataField name="Sum of Objects thrown at firefighters/appliances" fld="3" baseField="2" baseItem="0"/>
    <dataField name="Sum of Physical abuse" fld="4" baseField="2" baseItem="0"/>
    <dataField name="Sum of Verbal abuse" fld="5" baseField="2" baseItem="0"/>
    <dataField name="Sum of Other acts of aggression" fld="6" baseField="2" baseItem="0"/>
    <dataField name="Sum of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2:E35" firstHeaderRow="0" firstDataRow="1" firstDataCol="1"/>
  <pivotFields count="6">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4">
    <i>
      <x/>
    </i>
    <i i="1">
      <x v="1"/>
    </i>
    <i i="2">
      <x v="2"/>
    </i>
    <i i="3">
      <x v="3"/>
    </i>
  </colItems>
  <dataFields count="4">
    <dataField name="Sum of 2015-16" fld="2" baseField="0" baseItem="0"/>
    <dataField name="Sum of 2016-17" fld="3" baseField="0" baseItem="0"/>
    <dataField name="Sum of 2017-18" fld="4" baseField="0" baseItem="0"/>
    <dataField name="Sum of 2018-19"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6" cacheId="2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M36" firstHeaderRow="0" firstDataRow="1" firstDataCol="1" rowPageCount="1" colPageCount="1"/>
  <pivotFields count="15">
    <pivotField axis="axisPage" showAll="0">
      <items count="7">
        <item x="0"/>
        <item x="1"/>
        <item x="2"/>
        <item x="3"/>
        <item x="4"/>
        <item x="5"/>
        <item t="default"/>
      </items>
    </pivotField>
    <pivotField axis="axisRow" showAll="0">
      <items count="33">
        <item x="3"/>
        <item x="4"/>
        <item x="14"/>
        <item x="5"/>
        <item x="9"/>
        <item x="17"/>
        <item x="23"/>
        <item x="15"/>
        <item x="6"/>
        <item x="0"/>
        <item x="13"/>
        <item x="10"/>
        <item x="28"/>
        <item x="21"/>
        <item x="29"/>
        <item x="19"/>
        <item x="30"/>
        <item x="25"/>
        <item x="26"/>
        <item x="18"/>
        <item x="16"/>
        <item x="2"/>
        <item x="11"/>
        <item x="22"/>
        <item x="20"/>
        <item x="31"/>
        <item x="1"/>
        <item x="7"/>
        <item x="12"/>
        <item x="24"/>
        <item x="8"/>
        <item x="27"/>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2">
    <i>
      <x/>
    </i>
    <i i="1">
      <x v="1"/>
    </i>
    <i i="2">
      <x v="2"/>
    </i>
    <i i="3">
      <x v="3"/>
    </i>
    <i i="4">
      <x v="4"/>
    </i>
    <i i="5">
      <x v="5"/>
    </i>
    <i i="6">
      <x v="6"/>
    </i>
    <i i="7">
      <x v="7"/>
    </i>
    <i i="8">
      <x v="8"/>
    </i>
    <i i="9">
      <x v="9"/>
    </i>
    <i i="10">
      <x v="10"/>
    </i>
    <i i="11">
      <x v="11"/>
    </i>
  </colItems>
  <pageFields count="1">
    <pageField fld="0" item="5" hier="-1"/>
  </pageFields>
  <dataFields count="12">
    <dataField name="Sum of VisitAlarmInstalled" fld="3" baseField="0" baseItem="0"/>
    <dataField name="Sum of VisitAdviceOnly" fld="4" baseField="0" baseItem="0"/>
    <dataField name="Sum of TotalVisits" fld="5" baseField="0" baseItem="0"/>
    <dataField name="Sum of TotalAlarms" fld="6" baseField="0" baseItem="0"/>
    <dataField name="Sum of TotalNewAlarms" fld="7" baseField="0" baseItem="0"/>
    <dataField name="Sum of TotalReplacedAlarms" fld="8" baseField="0" baseItem="0"/>
    <dataField name="Sum of Dwellings" fld="9" baseField="0" baseItem="0"/>
    <dataField name="Sum of VisitsPer100Dwelling" fld="10" baseField="0" baseItem="0"/>
    <dataField name="Sum of AlarmsPer100Dwelling" fld="11" baseField="0" baseItem="0"/>
    <dataField name="Sum of Households" fld="12" baseField="0" baseItem="0"/>
    <dataField name="Sum of VisitsPer100Household" fld="13" baseField="0" baseItem="0"/>
    <dataField name="Sum of AlarmsPer100Household"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7:H80" firstHeaderRow="0" firstDataRow="1" firstDataCol="1" rowPageCount="1" colPageCount="1"/>
  <pivotFields count="10">
    <pivotField axis="axisPage" showAll="0">
      <items count="4">
        <item x="0"/>
        <item x="1"/>
        <item x="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7">
    <i>
      <x/>
    </i>
    <i i="1">
      <x v="1"/>
    </i>
    <i i="2">
      <x v="2"/>
    </i>
    <i i="3">
      <x v="3"/>
    </i>
    <i i="4">
      <x v="4"/>
    </i>
    <i i="5">
      <x v="5"/>
    </i>
    <i i="6">
      <x v="6"/>
    </i>
  </colItems>
  <pageFields count="1">
    <pageField fld="0" item="2" hier="-1"/>
  </pageFields>
  <dataFields count="7">
    <dataField name="Sum of Total" fld="3" baseField="0" baseItem="0"/>
    <dataField name="Sum of Pumping Appliances" fld="7" baseField="0" baseItem="0"/>
    <dataField name="Sum of Combined Aerial &amp; Pumping" fld="4" baseField="1" baseItem="0"/>
    <dataField name="Sum of Primarily For Rescue Vehicles" fld="6" baseField="1" baseItem="0"/>
    <dataField name="Sum of Small Firefighting Vehicles" fld="9" baseField="1" baseItem="0"/>
    <dataField name="Sum of Operational Other" fld="5" baseField="1" baseItem="0"/>
    <dataField name="Sum of Resilience" fld="8"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2" cacheId="1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Q37" firstHeaderRow="0" firstDataRow="1" firstDataCol="1" rowPageCount="1" colPageCount="1"/>
  <pivotFields count="19">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axis="axisPage" multipleItemSelectionAllowed="1" showAll="0">
      <items count="6">
        <item h="1" x="0"/>
        <item h="1" x="1"/>
        <item h="1" x="2"/>
        <item h="1" x="3"/>
        <item x="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1">
    <pageField fld="2" hier="-1"/>
  </pageFields>
  <dataFields count="16">
    <dataField name="Sum of Hospital / Prison" fld="8" baseField="0" baseItem="0"/>
    <dataField name="Sum of Care Home" fld="4" baseField="0" baseItem="0"/>
    <dataField name="Sum of HMO" fld="7" baseField="0" baseItem="0"/>
    <dataField name="Sum of Hostel" fld="9" baseField="0" baseItem="0"/>
    <dataField name="Sum of Hotel" fld="10" baseField="0" baseItem="0"/>
    <dataField name="Sum of Other Sleeping Accommodation" fld="14" baseField="0" baseItem="0"/>
    <dataField name="Sum of Further Education" fld="6" baseField="0" baseItem="0"/>
    <dataField name="Sum of Public Building" fld="16" baseField="0" baseItem="0"/>
    <dataField name="Sum of Licensed Premises" fld="11" baseField="0" baseItem="0"/>
    <dataField name="Sum of School" fld="17" baseField="0" baseItem="0"/>
    <dataField name="Sum of Shop" fld="18" baseField="0" baseItem="0"/>
    <dataField name="Sum of Other Premises Open to Public" fld="13" baseField="0" baseItem="0"/>
    <dataField name="Sum of Factory or Warehouse" fld="5" baseField="0" baseItem="0"/>
    <dataField name="Sum of Office" fld="12" baseField="0" baseItem="0"/>
    <dataField name="Sum of Other Workplace" fld="15" baseField="0" baseItem="0"/>
    <dataField name="Sum of Total Of PremisesVisited"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6" cacheId="1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I20" firstHeaderRow="0" firstDataRow="1" firstDataCol="1" rowPageCount="1" colPageCount="1"/>
  <pivotFields count="10">
    <pivotField axis="axisPage" showAll="0">
      <items count="6">
        <item x="0"/>
        <item x="1"/>
        <item x="2"/>
        <item x="3"/>
        <item x="4"/>
        <item t="default"/>
      </items>
    </pivotField>
    <pivotField axis="axisRow" showAll="0">
      <items count="16">
        <item x="0"/>
        <item x="1"/>
        <item x="2"/>
        <item x="3"/>
        <item x="4"/>
        <item x="5"/>
        <item x="6"/>
        <item x="7"/>
        <item x="8"/>
        <item x="9"/>
        <item x="10"/>
        <item x="11"/>
        <item x="12"/>
        <item x="13"/>
        <item x="1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8">
    <i>
      <x/>
    </i>
    <i i="1">
      <x v="1"/>
    </i>
    <i i="2">
      <x v="2"/>
    </i>
    <i i="3">
      <x v="3"/>
    </i>
    <i i="4">
      <x v="4"/>
    </i>
    <i i="5">
      <x v="5"/>
    </i>
    <i i="6">
      <x v="6"/>
    </i>
    <i i="7">
      <x v="7"/>
    </i>
  </colItems>
  <pageFields count="1">
    <pageField fld="0" item="4" hier="-1"/>
  </pageFields>
  <dataFields count="8">
    <dataField name="Sum of A_Tally" fld="2" baseField="0" baseItem="0"/>
    <dataField name="Sum of A_Hours" fld="3" baseField="0" baseItem="0"/>
    <dataField name="Sum of B_Tally" fld="4" baseField="0" baseItem="0"/>
    <dataField name="Sum of B_Hours" fld="5" baseField="0" baseItem="0"/>
    <dataField name="Sum of Enforcement_Tally" fld="6" baseField="1" baseItem="0"/>
    <dataField name="Sum of Enforcement_Hours" fld="7" baseField="1" baseItem="0"/>
    <dataField name="Sum of Prohibition_Tally" fld="8" baseField="1" baseItem="0"/>
    <dataField name="Sum of Prohibition_Hours" fld="9"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9" cacheId="1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I36" firstHeaderRow="0" firstDataRow="1" firstDataCol="1" rowPageCount="1" colPageCount="1"/>
  <pivotFields count="11">
    <pivotField axis="axisPage" showAll="0">
      <items count="6">
        <item x="0"/>
        <item x="1"/>
        <item x="2"/>
        <item x="3"/>
        <item x="4"/>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8">
    <i>
      <x/>
    </i>
    <i i="1">
      <x v="1"/>
    </i>
    <i i="2">
      <x v="2"/>
    </i>
    <i i="3">
      <x v="3"/>
    </i>
    <i i="4">
      <x v="4"/>
    </i>
    <i i="5">
      <x v="5"/>
    </i>
    <i i="6">
      <x v="6"/>
    </i>
    <i i="7">
      <x v="7"/>
    </i>
  </colItems>
  <pageFields count="1">
    <pageField fld="0" item="4" hier="-1"/>
  </pageFields>
  <dataFields count="8">
    <dataField name="Sum of A_Tally" fld="3" baseField="0" baseItem="0"/>
    <dataField name="Sum of A_Hours" fld="4" baseField="0" baseItem="0"/>
    <dataField name="Sum of B_Tally" fld="5" baseField="1" baseItem="0"/>
    <dataField name="Sum of B_Hours" fld="6" baseField="1" baseItem="0"/>
    <dataField name="Sum of Enforcement_Tally" fld="7" baseField="1" baseItem="0"/>
    <dataField name="Sum of Enforcement_Hours" fld="8" baseField="1" baseItem="0"/>
    <dataField name="Sum of Prohibition_Tally" fld="9" baseField="1" baseItem="0"/>
    <dataField name="Sum of Prohibition_Hours" fld="10"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7" cacheId="2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9" firstHeaderRow="0" firstDataRow="1" firstDataCol="1" rowPageCount="1" colPageCount="1"/>
  <pivotFields count="9">
    <pivotField axis="axisPage" showAll="0">
      <items count="6">
        <item x="0"/>
        <item x="1"/>
        <item x="2"/>
        <item x="3"/>
        <item x="4"/>
        <item t="default"/>
      </items>
    </pivotField>
    <pivotField axis="axisRow" showAll="0">
      <items count="16">
        <item x="0"/>
        <item x="1"/>
        <item x="2"/>
        <item x="3"/>
        <item x="4"/>
        <item x="5"/>
        <item x="6"/>
        <item x="7"/>
        <item x="8"/>
        <item x="9"/>
        <item x="10"/>
        <item x="11"/>
        <item x="12"/>
        <item x="13"/>
        <item x="14"/>
        <item t="default"/>
      </items>
    </pivotField>
    <pivotField showAll="0"/>
    <pivotField dataField="1" showAll="0"/>
    <pivotField dataField="1" showAll="0"/>
    <pivotField dataField="1" showAll="0"/>
    <pivotField dataField="1" showAll="0"/>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6">
    <i>
      <x/>
    </i>
    <i i="1">
      <x v="1"/>
    </i>
    <i i="2">
      <x v="2"/>
    </i>
    <i i="3">
      <x v="3"/>
    </i>
    <i i="4">
      <x v="4"/>
    </i>
    <i i="5">
      <x v="5"/>
    </i>
  </colItems>
  <pageFields count="1">
    <pageField fld="0" item="4" hier="-1"/>
  </pageFields>
  <dataFields count="6">
    <dataField name="Sum of VL" fld="8" baseField="1" baseItem="0"/>
    <dataField name="Sum of L" fld="5" baseField="1" baseItem="0"/>
    <dataField name="Sum of M" fld="6" baseField="0" baseItem="0"/>
    <dataField name="Sum of H" fld="4" baseField="0" baseItem="0"/>
    <dataField name="Sum of VH" fld="7" baseField="1" baseItem="0"/>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1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7:F40" firstHeaderRow="0" firstDataRow="1" firstDataCol="1" rowPageCount="1" colPageCount="1"/>
  <pivotFields count="8">
    <pivotField axis="axisPage" showAll="0">
      <items count="4">
        <item x="0"/>
        <item x="1"/>
        <item x="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5">
    <i>
      <x/>
    </i>
    <i i="1">
      <x v="1"/>
    </i>
    <i i="2">
      <x v="2"/>
    </i>
    <i i="3">
      <x v="3"/>
    </i>
    <i i="4">
      <x v="4"/>
    </i>
  </colItems>
  <pageFields count="1">
    <pageField fld="0" item="2" hier="-1"/>
  </pageFields>
  <dataFields count="5">
    <dataField name="Sum of Total" fld="3" baseField="0" baseItem="0"/>
    <dataField name="Sum of Pumping Appliances" fld="6" baseField="0" baseItem="0"/>
    <dataField name="Sum of Aerial Appliances" fld="4" baseField="1" baseItem="0"/>
    <dataField name="Sum of Other Appliances" fld="5" baseField="1" baseItem="0"/>
    <dataField name="Sum of Resilience" fld="7"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H56" firstHeaderRow="0" firstDataRow="1" firstDataCol="1"/>
  <pivotFields count="12">
    <pivotField showAll="0" defaultSubtotal="0">
      <items count="6">
        <item h="1" x="0"/>
        <item h="1" x="1"/>
        <item h="1" x="2"/>
        <item h="1" x="3"/>
        <item h="1" x="4"/>
        <item x="5"/>
      </items>
    </pivotField>
    <pivotField axis="axisRow" showAll="0">
      <items count="5">
        <item x="0"/>
        <item x="1"/>
        <item x="2"/>
        <item x="3"/>
        <item t="default"/>
      </items>
    </pivotField>
    <pivotField showAll="0"/>
    <pivotField axis="axisRow" showAll="0">
      <items count="49">
        <item x="19"/>
        <item x="20"/>
        <item x="32"/>
        <item x="26"/>
        <item x="21"/>
        <item x="33"/>
        <item x="22"/>
        <item x="0"/>
        <item x="1"/>
        <item x="27"/>
        <item x="42"/>
        <item x="44"/>
        <item x="2"/>
        <item x="34"/>
        <item x="29"/>
        <item x="3"/>
        <item x="35"/>
        <item x="4"/>
        <item x="36"/>
        <item x="37"/>
        <item x="6"/>
        <item x="38"/>
        <item x="31"/>
        <item x="30"/>
        <item x="7"/>
        <item x="39"/>
        <item x="8"/>
        <item x="9"/>
        <item x="10"/>
        <item x="5"/>
        <item x="45"/>
        <item x="11"/>
        <item x="28"/>
        <item x="12"/>
        <item x="13"/>
        <item x="23"/>
        <item x="46"/>
        <item x="14"/>
        <item x="15"/>
        <item x="16"/>
        <item x="17"/>
        <item x="18"/>
        <item x="40"/>
        <item x="43"/>
        <item x="24"/>
        <item x="25"/>
        <item x="41"/>
        <item m="1" x="47"/>
        <item t="default"/>
      </items>
    </pivotField>
    <pivotField showAll="0"/>
    <pivotField dataField="1" showAll="0"/>
    <pivotField dataField="1" showAll="0"/>
    <pivotField dataField="1" showAll="0"/>
    <pivotField dataField="1" showAll="0"/>
    <pivotField dataField="1" showAll="0"/>
    <pivotField dataField="1" showAll="0"/>
    <pivotField dataField="1" showAll="0"/>
  </pivotFields>
  <rowFields count="2">
    <field x="1"/>
    <field x="3"/>
  </rowFields>
  <rowItems count="55">
    <i>
      <x/>
    </i>
    <i r="1">
      <x/>
    </i>
    <i r="1">
      <x v="1"/>
    </i>
    <i r="1">
      <x v="3"/>
    </i>
    <i r="1">
      <x v="4"/>
    </i>
    <i r="1">
      <x v="6"/>
    </i>
    <i r="1">
      <x v="7"/>
    </i>
    <i r="1">
      <x v="8"/>
    </i>
    <i r="1">
      <x v="9"/>
    </i>
    <i r="1">
      <x v="12"/>
    </i>
    <i r="1">
      <x v="14"/>
    </i>
    <i r="1">
      <x v="15"/>
    </i>
    <i r="1">
      <x v="17"/>
    </i>
    <i r="1">
      <x v="20"/>
    </i>
    <i r="1">
      <x v="22"/>
    </i>
    <i r="1">
      <x v="23"/>
    </i>
    <i r="1">
      <x v="24"/>
    </i>
    <i r="1">
      <x v="26"/>
    </i>
    <i r="1">
      <x v="27"/>
    </i>
    <i r="1">
      <x v="28"/>
    </i>
    <i r="1">
      <x v="31"/>
    </i>
    <i r="1">
      <x v="32"/>
    </i>
    <i r="1">
      <x v="34"/>
    </i>
    <i r="1">
      <x v="35"/>
    </i>
    <i r="1">
      <x v="37"/>
    </i>
    <i r="1">
      <x v="39"/>
    </i>
    <i r="1">
      <x v="40"/>
    </i>
    <i r="1">
      <x v="41"/>
    </i>
    <i r="1">
      <x v="44"/>
    </i>
    <i r="1">
      <x v="45"/>
    </i>
    <i>
      <x v="1"/>
    </i>
    <i r="1">
      <x/>
    </i>
    <i r="1">
      <x v="2"/>
    </i>
    <i r="1">
      <x v="5"/>
    </i>
    <i r="1">
      <x v="8"/>
    </i>
    <i r="1">
      <x v="10"/>
    </i>
    <i r="1">
      <x v="13"/>
    </i>
    <i r="1">
      <x v="16"/>
    </i>
    <i r="1">
      <x v="18"/>
    </i>
    <i r="1">
      <x v="19"/>
    </i>
    <i r="1">
      <x v="21"/>
    </i>
    <i r="1">
      <x v="22"/>
    </i>
    <i r="1">
      <x v="23"/>
    </i>
    <i r="1">
      <x v="25"/>
    </i>
    <i r="1">
      <x v="32"/>
    </i>
    <i r="1">
      <x v="40"/>
    </i>
    <i r="1">
      <x v="42"/>
    </i>
    <i r="1">
      <x v="46"/>
    </i>
    <i>
      <x v="2"/>
    </i>
    <i r="1">
      <x v="11"/>
    </i>
    <i r="1">
      <x v="30"/>
    </i>
    <i r="1">
      <x v="43"/>
    </i>
    <i>
      <x v="3"/>
    </i>
    <i r="1">
      <x v="36"/>
    </i>
    <i t="grand">
      <x/>
    </i>
  </rowItems>
  <colFields count="1">
    <field x="-2"/>
  </colFields>
  <colItems count="7">
    <i>
      <x/>
    </i>
    <i i="1">
      <x v="1"/>
    </i>
    <i i="2">
      <x v="2"/>
    </i>
    <i i="3">
      <x v="3"/>
    </i>
    <i i="4">
      <x v="4"/>
    </i>
    <i i="5">
      <x v="5"/>
    </i>
    <i i="6">
      <x v="6"/>
    </i>
  </colItems>
  <dataFields count="7">
    <dataField name="Sum of Brigade Manager" fld="6" baseField="1" baseItem="0"/>
    <dataField name="Sum of Area Manager" fld="5" baseField="1" baseItem="0"/>
    <dataField name="Sum of Group Manager" fld="9" baseField="1" baseItem="0"/>
    <dataField name="Sum of Station Manager" fld="10" baseField="1" baseItem="0"/>
    <dataField name="Sum of Watch Manager" fld="11" baseField="0" baseItem="0"/>
    <dataField name="Sum of Crew Manager" fld="7" baseField="1" baseItem="0"/>
    <dataField name="Sum of Firefighter" fld="8"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8" firstHeaderRow="0" firstDataRow="1" firstDataCol="1" rowPageCount="1" colPageCount="1"/>
  <pivotFields count="8">
    <pivotField axis="axisPage" showAll="0">
      <items count="7">
        <item x="0"/>
        <item x="1"/>
        <item x="2"/>
        <item x="3"/>
        <item x="4"/>
        <item x="5"/>
        <item t="default"/>
      </items>
    </pivotField>
    <pivotField axis="axisRow" showAll="0">
      <items count="5">
        <item x="0"/>
        <item x="1"/>
        <item x="2"/>
        <item x="3"/>
        <item t="default"/>
      </items>
    </pivotField>
    <pivotField dataField="1" showAll="0"/>
    <pivotField dataField="1"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6">
    <i>
      <x/>
    </i>
    <i i="1">
      <x v="1"/>
    </i>
    <i i="2">
      <x v="2"/>
    </i>
    <i i="3">
      <x v="3"/>
    </i>
    <i i="4">
      <x v="4"/>
    </i>
    <i i="5">
      <x v="5"/>
    </i>
  </colItems>
  <pageFields count="1">
    <pageField fld="0" item="5" hier="-1"/>
  </pageFields>
  <dataFields count="6">
    <dataField name="Sum of WT" fld="7" baseField="0" baseItem="0"/>
    <dataField name="Sum of RDS" fld="4" baseField="1" baseItem="0"/>
    <dataField name="Sum of Control" fld="3" baseField="1" baseItem="0"/>
    <dataField name="Sum of Support" fld="5" baseField="1" baseItem="0"/>
    <dataField name="Sum of Vol" fld="6" baseField="1"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3" cacheId="2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0:I35" firstHeaderRow="0" firstDataRow="1" firstDataCol="1" rowPageCount="1" colPageCount="1"/>
  <pivotFields count="10">
    <pivotField axis="axisPage" showAll="0">
      <items count="7">
        <item x="0"/>
        <item x="1"/>
        <item x="2"/>
        <item x="3"/>
        <item x="4"/>
        <item x="5"/>
        <item t="default"/>
      </items>
    </pivotField>
    <pivotField axis="axisRow" showAll="0">
      <items count="5">
        <item x="0"/>
        <item x="1"/>
        <item x="3"/>
        <item x="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8">
    <i>
      <x/>
    </i>
    <i i="1">
      <x v="1"/>
    </i>
    <i i="2">
      <x v="2"/>
    </i>
    <i i="3">
      <x v="3"/>
    </i>
    <i i="4">
      <x v="4"/>
    </i>
    <i i="5">
      <x v="5"/>
    </i>
    <i i="6">
      <x v="6"/>
    </i>
    <i i="7">
      <x v="7"/>
    </i>
  </colItems>
  <pageFields count="1">
    <pageField fld="0" item="5" hier="-1"/>
  </pageFields>
  <dataFields count="8">
    <dataField name="Sum of Brigade Manager" fld="4" baseField="1" baseItem="0"/>
    <dataField name="Sum of Area Manager" fld="3" baseField="1" baseItem="0"/>
    <dataField name="Sum of Group Manager" fld="7" baseField="1" baseItem="0"/>
    <dataField name="Sum of Station Manager" fld="8" baseField="1" baseItem="1"/>
    <dataField name="Sum of Watch Manager" fld="9" baseField="0" baseItem="0"/>
    <dataField name="Sum of Crew Manager" fld="5" baseField="0" baseItem="0"/>
    <dataField name="Sum of Firefighter" fld="6" baseField="0"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20:I25" firstHeaderRow="0" firstDataRow="1" firstDataCol="1" rowPageCount="1" colPageCount="1"/>
  <pivotFields count="10">
    <pivotField axis="axisPage" showAll="0">
      <items count="7">
        <item x="0"/>
        <item x="1"/>
        <item x="2"/>
        <item x="3"/>
        <item x="4"/>
        <item x="5"/>
        <item t="default"/>
      </items>
    </pivotField>
    <pivotField axis="axisRow" showAll="0">
      <items count="5">
        <item x="0"/>
        <item x="1"/>
        <item x="2"/>
        <item x="3"/>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8">
    <i>
      <x/>
    </i>
    <i i="1">
      <x v="1"/>
    </i>
    <i i="2">
      <x v="2"/>
    </i>
    <i i="3">
      <x v="3"/>
    </i>
    <i i="4">
      <x v="4"/>
    </i>
    <i i="5">
      <x v="5"/>
    </i>
    <i i="6">
      <x v="6"/>
    </i>
    <i i="7">
      <x v="7"/>
    </i>
  </colItems>
  <pageFields count="1">
    <pageField fld="0" item="5" hier="-1"/>
  </pageFields>
  <dataFields count="8">
    <dataField name="Sum of Brigade Manager" fld="4" baseField="1" baseItem="0"/>
    <dataField name="Sum of Area Manager" fld="3" baseField="1" baseItem="0"/>
    <dataField name="Sum of Group Manager" fld="7" baseField="1" baseItem="0"/>
    <dataField name="Sum of Station Manager" fld="8" baseField="1" baseItem="0"/>
    <dataField name="Sum of Watch Manager" fld="9" baseField="0" baseItem="0"/>
    <dataField name="Sum of Crew Manager" fld="5" baseField="1" baseItem="0"/>
    <dataField name="Sum of Firefighter" fld="6" baseField="1"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3" cacheId="2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F62" firstHeaderRow="0" firstDataRow="1" firstDataCol="1" rowPageCount="1" colPageCount="1"/>
  <pivotFields count="10">
    <pivotField axis="axisPage" showAll="0">
      <items count="7">
        <item x="0"/>
        <item x="1"/>
        <item x="2"/>
        <item x="3"/>
        <item x="4"/>
        <item x="5"/>
        <item t="default"/>
      </items>
    </pivotField>
    <pivotField axis="axisRow" showAll="0">
      <items count="5">
        <item x="0"/>
        <item x="1"/>
        <item x="2"/>
        <item x="3"/>
        <item t="default"/>
      </items>
    </pivotField>
    <pivotField showAll="0"/>
    <pivotField axis="axisRow" showAll="0">
      <items count="49">
        <item x="19"/>
        <item x="20"/>
        <item x="32"/>
        <item x="26"/>
        <item x="21"/>
        <item x="33"/>
        <item x="22"/>
        <item x="0"/>
        <item x="1"/>
        <item x="27"/>
        <item x="42"/>
        <item x="44"/>
        <item x="2"/>
        <item x="34"/>
        <item x="29"/>
        <item x="3"/>
        <item x="35"/>
        <item x="4"/>
        <item x="36"/>
        <item x="37"/>
        <item x="6"/>
        <item x="38"/>
        <item x="31"/>
        <item x="30"/>
        <item x="7"/>
        <item x="39"/>
        <item x="8"/>
        <item x="9"/>
        <item x="10"/>
        <item x="5"/>
        <item x="45"/>
        <item x="11"/>
        <item x="28"/>
        <item x="12"/>
        <item x="13"/>
        <item x="23"/>
        <item x="46"/>
        <item x="14"/>
        <item x="15"/>
        <item x="16"/>
        <item x="17"/>
        <item x="18"/>
        <item x="40"/>
        <item x="43"/>
        <item x="24"/>
        <item x="25"/>
        <item x="41"/>
        <item x="47"/>
        <item t="default"/>
      </items>
    </pivotField>
    <pivotField showAll="0"/>
    <pivotField dataField="1" showAll="0"/>
    <pivotField dataField="1" showAll="0"/>
    <pivotField dataField="1" showAll="0"/>
    <pivotField dataField="1" showAll="0"/>
    <pivotField dataField="1" showAll="0"/>
  </pivotFields>
  <rowFields count="2">
    <field x="1"/>
    <field x="3"/>
  </rowFields>
  <rowItems count="59">
    <i>
      <x/>
    </i>
    <i r="1">
      <x/>
    </i>
    <i r="1">
      <x v="1"/>
    </i>
    <i r="1">
      <x v="3"/>
    </i>
    <i r="1">
      <x v="4"/>
    </i>
    <i r="1">
      <x v="6"/>
    </i>
    <i r="1">
      <x v="7"/>
    </i>
    <i r="1">
      <x v="8"/>
    </i>
    <i r="1">
      <x v="9"/>
    </i>
    <i r="1">
      <x v="12"/>
    </i>
    <i r="1">
      <x v="14"/>
    </i>
    <i r="1">
      <x v="15"/>
    </i>
    <i r="1">
      <x v="17"/>
    </i>
    <i r="1">
      <x v="20"/>
    </i>
    <i r="1">
      <x v="22"/>
    </i>
    <i r="1">
      <x v="23"/>
    </i>
    <i r="1">
      <x v="24"/>
    </i>
    <i r="1">
      <x v="26"/>
    </i>
    <i r="1">
      <x v="27"/>
    </i>
    <i r="1">
      <x v="28"/>
    </i>
    <i r="1">
      <x v="29"/>
    </i>
    <i r="1">
      <x v="31"/>
    </i>
    <i r="1">
      <x v="32"/>
    </i>
    <i r="1">
      <x v="33"/>
    </i>
    <i r="1">
      <x v="34"/>
    </i>
    <i r="1">
      <x v="35"/>
    </i>
    <i r="1">
      <x v="37"/>
    </i>
    <i r="1">
      <x v="38"/>
    </i>
    <i r="1">
      <x v="39"/>
    </i>
    <i r="1">
      <x v="40"/>
    </i>
    <i r="1">
      <x v="41"/>
    </i>
    <i r="1">
      <x v="44"/>
    </i>
    <i r="1">
      <x v="45"/>
    </i>
    <i>
      <x v="1"/>
    </i>
    <i r="1">
      <x/>
    </i>
    <i r="1">
      <x v="2"/>
    </i>
    <i r="1">
      <x v="5"/>
    </i>
    <i r="1">
      <x v="8"/>
    </i>
    <i r="1">
      <x v="10"/>
    </i>
    <i r="1">
      <x v="13"/>
    </i>
    <i r="1">
      <x v="16"/>
    </i>
    <i r="1">
      <x v="18"/>
    </i>
    <i r="1">
      <x v="19"/>
    </i>
    <i r="1">
      <x v="21"/>
    </i>
    <i r="1">
      <x v="22"/>
    </i>
    <i r="1">
      <x v="23"/>
    </i>
    <i r="1">
      <x v="25"/>
    </i>
    <i r="1">
      <x v="32"/>
    </i>
    <i r="1">
      <x v="40"/>
    </i>
    <i r="1">
      <x v="42"/>
    </i>
    <i r="1">
      <x v="46"/>
    </i>
    <i r="1">
      <x v="47"/>
    </i>
    <i>
      <x v="2"/>
    </i>
    <i r="1">
      <x v="11"/>
    </i>
    <i r="1">
      <x v="30"/>
    </i>
    <i r="1">
      <x v="43"/>
    </i>
    <i>
      <x v="3"/>
    </i>
    <i r="1">
      <x v="36"/>
    </i>
    <i t="grand">
      <x/>
    </i>
  </rowItems>
  <colFields count="1">
    <field x="-2"/>
  </colFields>
  <colItems count="5">
    <i>
      <x/>
    </i>
    <i i="1">
      <x v="1"/>
    </i>
    <i i="2">
      <x v="2"/>
    </i>
    <i i="3">
      <x v="3"/>
    </i>
    <i i="4">
      <x v="4"/>
    </i>
  </colItems>
  <pageFields count="1">
    <pageField fld="0" item="5" hier="-1"/>
  </pageFields>
  <dataFields count="5">
    <dataField name="Sum of WT" fld="9" baseField="3" baseItem="0"/>
    <dataField name="Sum of RDS" fld="6" baseField="3" baseItem="0"/>
    <dataField name="Sum of Control" fld="5" baseField="3" baseItem="0"/>
    <dataField name="Sum of Support" fld="7" baseField="3" baseItem="0"/>
    <dataField name="Sum of Vol" fld="8"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inYear" sourceName="FinYear">
  <pivotTables>
    <pivotTable tabId="60" name="PivotTable1"/>
  </pivotTables>
  <data>
    <tabular pivotCacheId="1" sortOrder="descending">
      <items count="6">
        <i x="5" s="1"/>
        <i x="4"/>
        <i x="3"/>
        <i x="2"/>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FinYr5" sourceName="FinYr">
  <pivotTables>
    <pivotTable tabId="68" name="PivotTable14"/>
  </pivotTables>
  <data>
    <tabular pivotCacheId="10" sortOrder="descending">
      <items count="6">
        <i x="5" s="1"/>
        <i x="4"/>
        <i x="3"/>
        <i x="2"/>
        <i x="1"/>
        <i x="0"/>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FinYr6" sourceName="FinYr">
  <pivotTables>
    <pivotTable tabId="68" name="PivotTable13"/>
  </pivotTables>
  <data>
    <tabular pivotCacheId="11" sortOrder="descending">
      <items count="6">
        <i x="5" s="1"/>
        <i x="4"/>
        <i x="3"/>
        <i x="2"/>
        <i x="1"/>
        <i x="0"/>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FinYr7" sourceName="FinYr">
  <pivotTables>
    <pivotTable tabId="69" name="PivotTable15"/>
  </pivotTables>
  <data>
    <tabular pivotCacheId="12" sortOrder="descending">
      <items count="6">
        <i x="5" s="1"/>
        <i x="4"/>
        <i x="3"/>
        <i x="2"/>
        <i x="1"/>
        <i x="0"/>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FinYr8" sourceName="FinYr">
  <pivotTables>
    <pivotTable tabId="70" name="PivotTable16"/>
  </pivotTables>
  <data>
    <tabular pivotCacheId="13" sortOrder="descending">
      <items count="6">
        <i x="5" s="1"/>
        <i x="4"/>
        <i x="3"/>
        <i x="2"/>
        <i x="1"/>
        <i x="0"/>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FinYr9" sourceName="FinYr">
  <pivotTables>
    <pivotTable tabId="71" name="PivotTable17"/>
  </pivotTables>
  <data>
    <tabular pivotCacheId="52" sortOrder="descending">
      <items count="5">
        <i x="4" s="1"/>
        <i x="3"/>
        <i x="2"/>
        <i x="1"/>
        <i x="0"/>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FinYr10" sourceName="FinYr">
  <pivotTables>
    <pivotTable tabId="72" name="PivotTable18"/>
  </pivotTables>
  <data>
    <tabular pivotCacheId="15" sortOrder="descending">
      <items count="6">
        <i x="5" s="1"/>
        <i x="4"/>
        <i x="3"/>
        <i x="2"/>
        <i x="1"/>
        <i x="0"/>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FinYr11" sourceName="FinYr">
  <pivotTables>
    <pivotTable tabId="73" name="PivotTable19"/>
  </pivotTables>
  <data>
    <tabular pivotCacheId="16" sortOrder="descending">
      <items count="2">
        <i x="1" s="1"/>
        <i x="0"/>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FisYr" sourceName="FisYr">
  <pivotTables>
    <pivotTable tabId="83" name="PivotTable2"/>
  </pivotTables>
  <data>
    <tabular pivotCacheId="20" sortOrder="descending">
      <items count="5">
        <i x="4" s="1"/>
        <i x="3"/>
        <i x="2"/>
        <i x="1"/>
        <i x="0"/>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FisYr4" sourceName="FisYr">
  <pivotTables>
    <pivotTable tabId="86" name="PivotTable3"/>
  </pivotTables>
  <data>
    <tabular pivotCacheId="26" sortOrder="descending">
      <items count="3">
        <i x="2" s="1"/>
        <i x="1"/>
        <i x="0"/>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FisYr5" sourceName="FisYr">
  <pivotTables>
    <pivotTable tabId="86" name="PivotTable4"/>
  </pivotTables>
  <data>
    <tabular pivotCacheId="27" sortOrder="descending">
      <items count="3">
        <i x="2" s="1"/>
        <i x="1"/>
        <i x="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inYear1" sourceName="FinYear">
  <pivotTables>
    <pivotTable tabId="60" name="PivotTable2"/>
  </pivotTables>
  <data>
    <tabular pivotCacheId="2" sortOrder="descending">
      <items count="6">
        <i x="5" s="1"/>
        <i x="4"/>
        <i x="3"/>
        <i x="2"/>
        <i x="1"/>
        <i x="0"/>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FisYr3" sourceName="FisYr">
  <pivotTables>
    <pivotTable tabId="77" name="PivotTable21"/>
  </pivotTables>
  <data>
    <tabular pivotCacheId="30" sortOrder="descending">
      <items count="5">
        <i x="4" s="1"/>
        <i x="3"/>
        <i x="2"/>
        <i x="1"/>
        <i x="0"/>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FisYr6" sourceName="FisYr">
  <pivotTables>
    <pivotTable tabId="88" name="PivotTable6"/>
  </pivotTables>
  <data>
    <tabular pivotCacheId="33" sortOrder="descending">
      <items count="6">
        <i x="5" s="1"/>
        <i x="4"/>
        <i x="3"/>
        <i x="2"/>
        <i x="1"/>
        <i x="0"/>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FisYr7" sourceName="FisYr">
  <pivotTables>
    <pivotTable tabId="90" name="PivotTable7"/>
  </pivotTables>
  <data>
    <tabular pivotCacheId="37" sortOrder="descending">
      <items count="5">
        <i x="4" s="1"/>
        <i x="3"/>
        <i x="2"/>
        <i x="1"/>
        <i x="0"/>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FinYear3" sourceName="FinYear">
  <pivotTables>
    <pivotTable tabId="60" name="PivotTable3"/>
  </pivotTables>
  <data>
    <tabular pivotCacheId="47" sortOrder="descending">
      <items count="6">
        <i x="5" s="1"/>
        <i x="4"/>
        <i x="3"/>
        <i x="2"/>
        <i x="1"/>
        <i x="0"/>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FinYr14" sourceName="FinYr">
  <pivotTables>
    <pivotTable tabId="63" name="PivotTable4"/>
  </pivotTables>
  <data>
    <tabular pivotCacheId="70" sortOrder="descending">
      <items count="6">
        <i x="5" s="1"/>
        <i x="4"/>
        <i x="3"/>
        <i x="2"/>
        <i x="1"/>
        <i x="0"/>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FinYr12" sourceName="FinYr">
  <pivotTables>
    <pivotTable tabId="67" name="PivotTable11"/>
  </pivotTables>
  <data>
    <tabular pivotCacheId="58" sortOrder="descending">
      <items count="6">
        <i x="5" s="1"/>
        <i x="4"/>
        <i x="3"/>
        <i x="2"/>
        <i x="1"/>
        <i x="0"/>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FisYr9" sourceName="FisYr">
  <pivotTables>
    <pivotTable tabId="84" name="PivotTable6"/>
  </pivotTables>
  <data>
    <tabular pivotCacheId="60" sortOrder="descending">
      <items count="5">
        <i x="4" s="1"/>
        <i x="3"/>
        <i x="2"/>
        <i x="1"/>
        <i x="0"/>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FisYr10" sourceName="FisYr">
  <pivotTables>
    <pivotTable tabId="85" name="PivotTable9"/>
  </pivotTables>
  <data>
    <tabular pivotCacheId="64" sortOrder="descending">
      <items count="5">
        <i x="4" s="1"/>
        <i x="3"/>
        <i x="2"/>
        <i x="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FinYear2" sourceName="FinYear">
  <pivotTables>
    <pivotTable tabId="62" name="PivotTable3"/>
  </pivotTables>
  <data>
    <tabular pivotCacheId="69" sortOrder="descending">
      <items count="6">
        <i x="5" s="1"/>
        <i x="4"/>
        <i x="3"/>
        <i x="2"/>
        <i x="1"/>
        <i x="0"/>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FinYr" sourceName="FinYr">
  <pivotTables>
    <pivotTable tabId="64" name="PivotTable6"/>
  </pivotTables>
  <data>
    <tabular pivotCacheId="5" sortOrder="descending">
      <items count="6">
        <i x="5" s="1"/>
        <i x="4"/>
        <i x="3"/>
        <i x="2"/>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FinYr1" sourceName="FinYr">
  <pivotTables>
    <pivotTable tabId="65" name="PivotTable7"/>
  </pivotTables>
  <data>
    <tabular pivotCacheId="6" sortOrder="descending">
      <items count="6">
        <i x="5" s="1"/>
        <i x="4"/>
        <i x="3"/>
        <i x="2"/>
        <i x="1"/>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FinYr2" sourceName="FinYr">
  <pivotTables>
    <pivotTable tabId="65" name="PivotTable8"/>
  </pivotTables>
  <data>
    <tabular pivotCacheId="7" sortOrder="descending">
      <items count="6">
        <i x="5" s="1"/>
        <i x="4"/>
        <i x="3"/>
        <i x="2"/>
        <i x="1"/>
        <i x="0"/>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FinYr3" sourceName="FinYr">
  <pivotTables>
    <pivotTable tabId="65" name="PivotTable9"/>
  </pivotTables>
  <data>
    <tabular pivotCacheId="8" sortOrder="descending">
      <items count="6">
        <i x="5" s="1"/>
        <i x="4"/>
        <i x="3"/>
        <i x="2"/>
        <i x="1"/>
        <i x="0"/>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lvl" sourceName="lvl">
  <pivotTables>
    <pivotTable tabId="66" name="PivotTable10"/>
  </pivotTables>
  <data>
    <tabular pivotCacheId="71">
      <items count="49">
        <i x="20" s="1"/>
        <i x="21" s="1"/>
        <i x="33" s="1"/>
        <i x="0" s="1"/>
        <i x="27" s="1"/>
        <i x="22" s="1"/>
        <i x="34" s="1"/>
        <i x="23" s="1"/>
        <i x="1" s="1"/>
        <i x="2" s="1"/>
        <i x="28" s="1"/>
        <i x="43" s="1"/>
        <i x="45" s="1"/>
        <i x="3" s="1"/>
        <i x="35" s="1"/>
        <i x="30" s="1"/>
        <i x="4" s="1"/>
        <i x="36" s="1"/>
        <i x="5" s="1"/>
        <i x="37" s="1"/>
        <i x="38" s="1"/>
        <i x="7" s="1"/>
        <i x="39" s="1"/>
        <i x="32" s="1"/>
        <i x="31" s="1"/>
        <i x="8" s="1"/>
        <i x="40" s="1"/>
        <i x="9" s="1"/>
        <i x="10" s="1"/>
        <i x="11" s="1"/>
        <i x="46" s="1"/>
        <i x="12" s="1"/>
        <i x="29" s="1"/>
        <i x="14" s="1"/>
        <i x="24" s="1"/>
        <i x="47" s="1"/>
        <i x="15" s="1"/>
        <i x="17" s="1"/>
        <i x="18" s="1"/>
        <i x="19" s="1"/>
        <i x="41" s="1"/>
        <i x="44" s="1"/>
        <i x="25" s="1"/>
        <i x="26" s="1"/>
        <i x="42" s="1"/>
        <i x="48" s="1" nd="1"/>
        <i x="6" s="1" nd="1"/>
        <i x="13" s="1" nd="1"/>
        <i x="16"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FinYr4" sourceName="FinYr">
  <pivotTables>
    <pivotTable tabId="66" name="PivotTable10"/>
  </pivotTables>
  <data>
    <tabular pivotCacheId="71" sortOrder="descending">
      <items count="6">
        <i x="5" s="1"/>
        <i x="4"/>
        <i x="3"/>
        <i x="2"/>
        <i x="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FisYr 4" cache="Slicer_FisYr4" caption="FisYr" columnCount="3" showCaption="0" rowHeight="241300"/>
  <slicer name="FisYr 5" cache="Slicer_FisYr5" caption="FisYr" columnCount="3" showCaption="0" rowHeight="241300"/>
</slicers>
</file>

<file path=xl/slicers/slicer10.xml><?xml version="1.0" encoding="utf-8"?>
<slicers xmlns="http://schemas.microsoft.com/office/spreadsheetml/2009/9/main" xmlns:mc="http://schemas.openxmlformats.org/markup-compatibility/2006" xmlns:x="http://schemas.openxmlformats.org/spreadsheetml/2006/main" mc:Ignorable="x">
  <slicer name="FinYr 29" cache="Slicer_FinYr3" caption="FinYr" columnCount="6" showCaption="0" rowHeight="241300"/>
</slicers>
</file>

<file path=xl/slicers/slicer11.xml><?xml version="1.0" encoding="utf-8"?>
<slicers xmlns="http://schemas.microsoft.com/office/spreadsheetml/2009/9/main" xmlns:mc="http://schemas.openxmlformats.org/markup-compatibility/2006" xmlns:x="http://schemas.openxmlformats.org/spreadsheetml/2006/main" mc:Ignorable="x">
  <slicer name="FinYr 7" cache="Slicer_FinYr14" caption="FinYr" columnCount="6" showCaption="0" rowHeight="241300"/>
</slicers>
</file>

<file path=xl/slicers/slicer12.xml><?xml version="1.0" encoding="utf-8"?>
<slicers xmlns="http://schemas.microsoft.com/office/spreadsheetml/2009/9/main" xmlns:mc="http://schemas.openxmlformats.org/markup-compatibility/2006" xmlns:x="http://schemas.openxmlformats.org/spreadsheetml/2006/main" mc:Ignorable="x">
  <slicer name="Year" cache="Slicer_FinYear" caption="Year" columnCount="6" showCaption="0" rowHeight="241300"/>
  <slicer name="Year2" cache="Slicer_FinYear1" caption="Year" columnCount="6" showCaption="0" rowHeight="241300"/>
  <slicer name="FinYear" cache="Slicer_FinYear3" caption="FinYear" columnCount="6" showCaption="0" rowHeight="241300"/>
</slicers>
</file>

<file path=xl/slicers/slicer13.xml><?xml version="1.0" encoding="utf-8"?>
<slicers xmlns="http://schemas.microsoft.com/office/spreadsheetml/2009/9/main" xmlns:mc="http://schemas.openxmlformats.org/markup-compatibility/2006" xmlns:x="http://schemas.openxmlformats.org/spreadsheetml/2006/main" mc:Ignorable="x">
  <slicer name="Year3" cache="Slicer_FinYear2" caption="Year" columnCount="6" showCaption="0" rowHeight="241300"/>
</slicers>
</file>

<file path=xl/slicers/slicer14.xml><?xml version="1.0" encoding="utf-8"?>
<slicers xmlns="http://schemas.microsoft.com/office/spreadsheetml/2009/9/main" xmlns:mc="http://schemas.openxmlformats.org/markup-compatibility/2006" xmlns:x="http://schemas.openxmlformats.org/spreadsheetml/2006/main" mc:Ignorable="x">
  <slicer name="FinYr" cache="Slicer_FinYr" caption="FinYr" columnCount="6" showCaption="0" rowHeight="241300"/>
</slicers>
</file>

<file path=xl/slicers/slicer15.xml><?xml version="1.0" encoding="utf-8"?>
<slicers xmlns="http://schemas.microsoft.com/office/spreadsheetml/2009/9/main" xmlns:mc="http://schemas.openxmlformats.org/markup-compatibility/2006" xmlns:x="http://schemas.openxmlformats.org/spreadsheetml/2006/main" mc:Ignorable="x">
  <slicer name="FinYr 2" cache="Slicer_FinYr1" caption="FinYr" columnCount="6" showCaption="0" rowHeight="241300"/>
  <slicer name="FinYr 4" cache="Slicer_FinYr2" caption="FinYr" columnCount="6" showCaption="0" rowHeight="241300"/>
  <slicer name="FinYr 6" cache="Slicer_FinYr3" caption="FinYr" columnCount="6" showCaption="0" rowHeight="241300"/>
  <slicer name="FinYr 28" cache="Slicer_FinYr3" caption="FinYr" columnCount="6" showCaption="0" rowHeight="241300"/>
</slicers>
</file>

<file path=xl/slicers/slicer16.xml><?xml version="1.0" encoding="utf-8"?>
<slicers xmlns="http://schemas.microsoft.com/office/spreadsheetml/2009/9/main" xmlns:mc="http://schemas.openxmlformats.org/markup-compatibility/2006" xmlns:x="http://schemas.openxmlformats.org/spreadsheetml/2006/main" mc:Ignorable="x">
  <slicer name="FinYr 9" cache="Slicer_FinYr4" caption="FinYr" columnCount="6" showCaption="0" rowHeight="241300"/>
</slicers>
</file>

<file path=xl/slicers/slicer17.xml><?xml version="1.0" encoding="utf-8"?>
<slicers xmlns="http://schemas.microsoft.com/office/spreadsheetml/2009/9/main" xmlns:mc="http://schemas.openxmlformats.org/markup-compatibility/2006" xmlns:x="http://schemas.openxmlformats.org/spreadsheetml/2006/main" mc:Ignorable="x">
  <slicer name="lvl" cache="Slicer_lvl" caption="lvl" startItem="41" rowHeight="241300"/>
  <slicer name="FinYr 8" cache="Slicer_FinYr4" caption="FinYr" columnCount="6" showCaption="0" rowHeight="241300"/>
</slicers>
</file>

<file path=xl/slicers/slicer18.xml><?xml version="1.0" encoding="utf-8"?>
<slicers xmlns="http://schemas.microsoft.com/office/spreadsheetml/2009/9/main" xmlns:mc="http://schemas.openxmlformats.org/markup-compatibility/2006" xmlns:x="http://schemas.openxmlformats.org/spreadsheetml/2006/main" mc:Ignorable="x">
  <slicer name="FinYr 32" cache="Slicer_FinYr12" caption="FinYr" columnCount="6" showCaption="0" rowHeight="241300"/>
</slicers>
</file>

<file path=xl/slicers/slicer19.xml><?xml version="1.0" encoding="utf-8"?>
<slicers xmlns="http://schemas.microsoft.com/office/spreadsheetml/2009/9/main" xmlns:mc="http://schemas.openxmlformats.org/markup-compatibility/2006" xmlns:x="http://schemas.openxmlformats.org/spreadsheetml/2006/main" mc:Ignorable="x">
  <slicer name="FinYr 11" cache="Slicer_FinYr5" caption="FinYr" columnCount="6" showCaption="0" rowHeight="241300"/>
  <slicer name="FinYr 13" cache="Slicer_FinYr6" caption="FinYr" columnCount="6" showCaption="0"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FisYr 10" cache="Slicer_FisYr5" caption="FisYr" columnCount="3" showCaption="0" rowHeight="241300"/>
</slicers>
</file>

<file path=xl/slicers/slicer20.xml><?xml version="1.0" encoding="utf-8"?>
<slicers xmlns="http://schemas.microsoft.com/office/spreadsheetml/2009/9/main" xmlns:mc="http://schemas.openxmlformats.org/markup-compatibility/2006" xmlns:x="http://schemas.openxmlformats.org/spreadsheetml/2006/main" mc:Ignorable="x">
  <slicer name="FinYr 17" cache="Slicer_FinYr8" caption="FinYr" columnCount="6" showCaption="0" rowHeight="241300"/>
</slicers>
</file>

<file path=xl/slicers/slicer21.xml><?xml version="1.0" encoding="utf-8"?>
<slicers xmlns="http://schemas.microsoft.com/office/spreadsheetml/2009/9/main" xmlns:mc="http://schemas.openxmlformats.org/markup-compatibility/2006" xmlns:x="http://schemas.openxmlformats.org/spreadsheetml/2006/main" mc:Ignorable="x">
  <slicer name="FinYr 25" cache="Slicer_FinYr12" caption="FinYr" columnCount="6" showCaption="0" rowHeight="241300"/>
</slicers>
</file>

<file path=xl/slicers/slicer22.xml><?xml version="1.0" encoding="utf-8"?>
<slicers xmlns="http://schemas.microsoft.com/office/spreadsheetml/2009/9/main" xmlns:mc="http://schemas.openxmlformats.org/markup-compatibility/2006" xmlns:x="http://schemas.openxmlformats.org/spreadsheetml/2006/main" mc:Ignorable="x">
  <slicer name="FinYr 10" cache="Slicer_FinYr5" caption="FinYr" columnCount="6" showCaption="0" rowHeight="241300"/>
  <slicer name="FinYr 12" cache="Slicer_FinYr6" caption="FinYr" columnCount="6" showCaption="0" rowHeight="241300"/>
</slicers>
</file>

<file path=xl/slicers/slicer23.xml><?xml version="1.0" encoding="utf-8"?>
<slicers xmlns="http://schemas.microsoft.com/office/spreadsheetml/2009/9/main" xmlns:mc="http://schemas.openxmlformats.org/markup-compatibility/2006" xmlns:x="http://schemas.openxmlformats.org/spreadsheetml/2006/main" mc:Ignorable="x">
  <slicer name="FinYr 14" cache="Slicer_FinYr7" caption="FinYr" columnCount="6" showCaption="0" rowHeight="241300"/>
</slicers>
</file>

<file path=xl/slicers/slicer24.xml><?xml version="1.0" encoding="utf-8"?>
<slicers xmlns="http://schemas.microsoft.com/office/spreadsheetml/2009/9/main" xmlns:mc="http://schemas.openxmlformats.org/markup-compatibility/2006" xmlns:x="http://schemas.openxmlformats.org/spreadsheetml/2006/main" mc:Ignorable="x">
  <slicer name="FinYr 16" cache="Slicer_FinYr8" caption="FinYr" columnCount="6" showCaption="0" rowHeight="241300"/>
</slicers>
</file>

<file path=xl/slicers/slicer25.xml><?xml version="1.0" encoding="utf-8"?>
<slicers xmlns="http://schemas.microsoft.com/office/spreadsheetml/2009/9/main" xmlns:mc="http://schemas.openxmlformats.org/markup-compatibility/2006" xmlns:x="http://schemas.openxmlformats.org/spreadsheetml/2006/main" mc:Ignorable="x">
  <slicer name="FinYr 15" cache="Slicer_FinYr7" caption="FinYr" columnCount="6" showCaption="0" rowHeight="241300"/>
</slicers>
</file>

<file path=xl/slicers/slicer26.xml><?xml version="1.0" encoding="utf-8"?>
<slicers xmlns="http://schemas.microsoft.com/office/spreadsheetml/2009/9/main" xmlns:mc="http://schemas.openxmlformats.org/markup-compatibility/2006" xmlns:x="http://schemas.openxmlformats.org/spreadsheetml/2006/main" mc:Ignorable="x">
  <slicer name="FinYr 19" cache="Slicer_FinYr9" caption="FinYr" columnCount="5" showCaption="0" rowHeight="241300"/>
</slicers>
</file>

<file path=xl/slicers/slicer27.xml><?xml version="1.0" encoding="utf-8"?>
<slicers xmlns="http://schemas.microsoft.com/office/spreadsheetml/2009/9/main" xmlns:mc="http://schemas.openxmlformats.org/markup-compatibility/2006" xmlns:x="http://schemas.openxmlformats.org/spreadsheetml/2006/main" mc:Ignorable="x">
  <slicer name="FinYr 18" cache="Slicer_FinYr9" caption="FinYr" columnCount="5" showCaption="0" rowHeight="241300"/>
</slicers>
</file>

<file path=xl/slicers/slicer28.xml><?xml version="1.0" encoding="utf-8"?>
<slicers xmlns="http://schemas.microsoft.com/office/spreadsheetml/2009/9/main" xmlns:mc="http://schemas.openxmlformats.org/markup-compatibility/2006" xmlns:x="http://schemas.openxmlformats.org/spreadsheetml/2006/main" mc:Ignorable="x">
  <slicer name="FinYr 21" cache="Slicer_FinYr10" caption="FinYr" columnCount="6" showCaption="0" rowHeight="241300"/>
  <slicer name="FinYr 24" cache="Slicer_FinYr10" caption="FinYr" columnCount="6" showCaption="0" rowHeight="241300"/>
</slicers>
</file>

<file path=xl/slicers/slicer29.xml><?xml version="1.0" encoding="utf-8"?>
<slicers xmlns="http://schemas.microsoft.com/office/spreadsheetml/2009/9/main" xmlns:mc="http://schemas.openxmlformats.org/markup-compatibility/2006" xmlns:x="http://schemas.openxmlformats.org/spreadsheetml/2006/main" mc:Ignorable="x">
  <slicer name="FinYr 20" cache="Slicer_FinYr10" caption="FinYr" columnCount="6" showCaption="0"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Year 1" cache="Slicer_FinYear" caption="Year" columnCount="6" showCaption="0" rowHeight="241300"/>
</slicers>
</file>

<file path=xl/slicers/slicer30.xml><?xml version="1.0" encoding="utf-8"?>
<slicers xmlns="http://schemas.microsoft.com/office/spreadsheetml/2009/9/main" xmlns:mc="http://schemas.openxmlformats.org/markup-compatibility/2006" xmlns:x="http://schemas.openxmlformats.org/spreadsheetml/2006/main" mc:Ignorable="x">
  <slicer name="FinYr 23" cache="Slicer_FinYr11" caption="FinYr" columnCount="2" showCaption="0" rowHeight="241300"/>
  <slicer name="FinYr 30" cache="Slicer_FinYr11" caption="FinYr" columnCount="2" showCaption="0" rowHeight="241300"/>
</slicers>
</file>

<file path=xl/slicers/slicer31.xml><?xml version="1.0" encoding="utf-8"?>
<slicers xmlns="http://schemas.microsoft.com/office/spreadsheetml/2009/9/main" xmlns:mc="http://schemas.openxmlformats.org/markup-compatibility/2006" xmlns:x="http://schemas.openxmlformats.org/spreadsheetml/2006/main" mc:Ignorable="x">
  <slicer name="FinYr 22" cache="Slicer_FinYr11" caption="FinYr" columnCount="2" showCaption="0" rowHeight="241300"/>
</slicers>
</file>

<file path=xl/slicers/slicer32.xml><?xml version="1.0" encoding="utf-8"?>
<slicers xmlns="http://schemas.microsoft.com/office/spreadsheetml/2009/9/main" xmlns:mc="http://schemas.openxmlformats.org/markup-compatibility/2006" xmlns:x="http://schemas.openxmlformats.org/spreadsheetml/2006/main" mc:Ignorable="x">
  <slicer name="FisYr 2" cache="Slicer_FisYr3" caption="FisYr" columnCount="5" showCaption="0" rowHeight="241300"/>
</slicers>
</file>

<file path=xl/slicers/slicer33.xml><?xml version="1.0" encoding="utf-8"?>
<slicers xmlns="http://schemas.microsoft.com/office/spreadsheetml/2009/9/main" xmlns:mc="http://schemas.openxmlformats.org/markup-compatibility/2006" xmlns:x="http://schemas.openxmlformats.org/spreadsheetml/2006/main" mc:Ignorable="x">
  <slicer name="FisYr 7" cache="Slicer_FisYr6" caption="FisYr" columnCount="6" showCaption="0" rowHeight="241300"/>
</slicers>
</file>

<file path=xl/slicers/slicer34.xml><?xml version="1.0" encoding="utf-8"?>
<slicers xmlns="http://schemas.microsoft.com/office/spreadsheetml/2009/9/main" xmlns:mc="http://schemas.openxmlformats.org/markup-compatibility/2006" xmlns:x="http://schemas.openxmlformats.org/spreadsheetml/2006/main" mc:Ignorable="x">
  <slicer name="FisYr 8" cache="Slicer_FisYr6" caption="FisYr" columnCount="6" showCaption="0" rowHeight="241300"/>
</slicers>
</file>

<file path=xl/slicers/slicer35.xml><?xml version="1.0" encoding="utf-8"?>
<slicers xmlns="http://schemas.microsoft.com/office/spreadsheetml/2009/9/main" xmlns:mc="http://schemas.openxmlformats.org/markup-compatibility/2006" xmlns:x="http://schemas.openxmlformats.org/spreadsheetml/2006/main" mc:Ignorable="x">
  <slicer name="FisYr 6" cache="Slicer_FisYr6" caption="FisYr" columnCount="6" showCaption="0" rowHeight="241300"/>
</slicers>
</file>

<file path=xl/slicers/slicer36.xml><?xml version="1.0" encoding="utf-8"?>
<slicers xmlns="http://schemas.microsoft.com/office/spreadsheetml/2009/9/main" xmlns:mc="http://schemas.openxmlformats.org/markup-compatibility/2006" xmlns:x="http://schemas.openxmlformats.org/spreadsheetml/2006/main" mc:Ignorable="x">
  <slicer name="FisYr 9" cache="Slicer_FisYr6" caption="FisYr" columnCount="6" showCaption="0" rowHeight="241300"/>
</slicers>
</file>

<file path=xl/slicers/slicer37.xml><?xml version="1.0" encoding="utf-8"?>
<slicers xmlns="http://schemas.microsoft.com/office/spreadsheetml/2009/9/main" xmlns:mc="http://schemas.openxmlformats.org/markup-compatibility/2006" xmlns:x="http://schemas.openxmlformats.org/spreadsheetml/2006/main" mc:Ignorable="x">
  <slicer name="FisYr 11" cache="Slicer_FisYr" caption="FisYr" columnCount="5" showCaption="0" rowHeight="241300"/>
</slicers>
</file>

<file path=xl/slicers/slicer38.xml><?xml version="1.0" encoding="utf-8"?>
<slicers xmlns="http://schemas.microsoft.com/office/spreadsheetml/2009/9/main" xmlns:mc="http://schemas.openxmlformats.org/markup-compatibility/2006" xmlns:x="http://schemas.openxmlformats.org/spreadsheetml/2006/main" mc:Ignorable="x">
  <slicer name="FisYr" cache="Slicer_FisYr" caption="FisYr" columnCount="5" showCaption="0" rowHeight="241300"/>
</slicers>
</file>

<file path=xl/slicers/slicer39.xml><?xml version="1.0" encoding="utf-8"?>
<slicers xmlns="http://schemas.microsoft.com/office/spreadsheetml/2009/9/main" xmlns:mc="http://schemas.openxmlformats.org/markup-compatibility/2006" xmlns:x="http://schemas.openxmlformats.org/spreadsheetml/2006/main" mc:Ignorable="x">
  <slicer name="FisYr 15" cache="Slicer_FisYr9" caption="FisYr" columnCount="5" showCaption="0"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Year3 1" cache="Slicer_FinYear2" caption="Year" columnCount="6" showCaption="0" rowHeight="241300"/>
</slicers>
</file>

<file path=xl/slicers/slicer40.xml><?xml version="1.0" encoding="utf-8"?>
<slicers xmlns="http://schemas.microsoft.com/office/spreadsheetml/2009/9/main" xmlns:mc="http://schemas.openxmlformats.org/markup-compatibility/2006" xmlns:x="http://schemas.openxmlformats.org/spreadsheetml/2006/main" mc:Ignorable="x">
  <slicer name="FisYr 14" cache="Slicer_FisYr9" caption="FisYr" columnCount="5" showCaption="0" rowHeight="241300"/>
</slicers>
</file>

<file path=xl/slicers/slicer41.xml><?xml version="1.0" encoding="utf-8"?>
<slicers xmlns="http://schemas.microsoft.com/office/spreadsheetml/2009/9/main" xmlns:mc="http://schemas.openxmlformats.org/markup-compatibility/2006" xmlns:x="http://schemas.openxmlformats.org/spreadsheetml/2006/main" mc:Ignorable="x">
  <slicer name="FisYr 19" cache="Slicer_FisYr10" caption="FisYr" columnCount="5" showCaption="0" rowHeight="241300"/>
</slicers>
</file>

<file path=xl/slicers/slicer42.xml><?xml version="1.0" encoding="utf-8"?>
<slicers xmlns="http://schemas.microsoft.com/office/spreadsheetml/2009/9/main" xmlns:mc="http://schemas.openxmlformats.org/markup-compatibility/2006" xmlns:x="http://schemas.openxmlformats.org/spreadsheetml/2006/main" mc:Ignorable="x">
  <slicer name="FisYr 18" cache="Slicer_FisYr10" caption="FisYr" columnCount="5" showCaption="0" rowHeight="241300"/>
</slicers>
</file>

<file path=xl/slicers/slicer43.xml><?xml version="1.0" encoding="utf-8"?>
<slicers xmlns="http://schemas.microsoft.com/office/spreadsheetml/2009/9/main" xmlns:mc="http://schemas.openxmlformats.org/markup-compatibility/2006" xmlns:x="http://schemas.openxmlformats.org/spreadsheetml/2006/main" mc:Ignorable="x">
  <slicer name="FisYr 13" cache="Slicer_FisYr7" caption="FisYr" columnCount="5" showCaption="0" rowHeight="241300"/>
</slicers>
</file>

<file path=xl/slicers/slicer44.xml><?xml version="1.0" encoding="utf-8"?>
<slicers xmlns="http://schemas.microsoft.com/office/spreadsheetml/2009/9/main" xmlns:mc="http://schemas.openxmlformats.org/markup-compatibility/2006" xmlns:x="http://schemas.openxmlformats.org/spreadsheetml/2006/main" mc:Ignorable="x">
  <slicer name="FisYr 12" cache="Slicer_FisYr7" caption="FisYr" columnCount="5" showCaption="0"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FinYear 1" cache="Slicer_FinYear3" caption="FinYear" columnCount="6" showCaption="0"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Year2 1" cache="Slicer_FinYear1" caption="Year" columnCount="6" showCaption="0"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FinYr 31" cache="Slicer_FinYr14" caption="FinYr" columnCount="6" showCaption="0" rowHeight="241300"/>
</slicers>
</file>

<file path=xl/slicers/slicer8.xml><?xml version="1.0" encoding="utf-8"?>
<slicers xmlns="http://schemas.microsoft.com/office/spreadsheetml/2009/9/main" xmlns:mc="http://schemas.openxmlformats.org/markup-compatibility/2006" xmlns:x="http://schemas.openxmlformats.org/spreadsheetml/2006/main" mc:Ignorable="x">
  <slicer name="FinYr 1" cache="Slicer_FinYr" caption="FinYr" columnCount="6" showCaption="0" rowHeight="241300"/>
</slicers>
</file>

<file path=xl/slicers/slicer9.xml><?xml version="1.0" encoding="utf-8"?>
<slicers xmlns="http://schemas.microsoft.com/office/spreadsheetml/2009/9/main" xmlns:mc="http://schemas.openxmlformats.org/markup-compatibility/2006" xmlns:x="http://schemas.openxmlformats.org/spreadsheetml/2006/main" mc:Ignorable="x">
  <slicer name="FinYr 3" cache="Slicer_FinYr1" caption="FinYr" columnCount="6" showCaption="0" rowHeight="241300"/>
  <slicer name="FinYr 5" cache="Slicer_FinYr2" caption="FinYr" columnCount="6" showCaption="0" rowHeight="241300"/>
</slicers>
</file>

<file path=xl/tables/table1.xml><?xml version="1.0" encoding="utf-8"?>
<table xmlns="http://schemas.openxmlformats.org/spreadsheetml/2006/main" id="2" name="Table2" displayName="Table2" ref="A11:I43" totalsRowShown="0" headerRowDxfId="31" dataDxfId="29" headerRowBorderDxfId="30">
  <tableColumns count="9">
    <tableColumn id="1" name="LA Code" dataDxfId="28" dataCellStyle="Normal_Sheet1"/>
    <tableColumn id="2" name="Local Authority Area" dataDxfId="27" dataCellStyle="Normal_Sheet1"/>
    <tableColumn id="3" name="Wholetime Operational" dataDxfId="26" dataCellStyle="Normal 4">
      <calculatedColumnFormula>'h3'!B5</calculatedColumnFormula>
    </tableColumn>
    <tableColumn id="4" name="Retained Duty System" dataDxfId="25" dataCellStyle="Normal 4">
      <calculatedColumnFormula>'h3'!C5</calculatedColumnFormula>
    </tableColumn>
    <tableColumn id="5" name="Control" dataDxfId="24" dataCellStyle="Normal 4">
      <calculatedColumnFormula>'h3'!D5</calculatedColumnFormula>
    </tableColumn>
    <tableColumn id="6" name="Support" dataDxfId="23" dataCellStyle="Normal 4">
      <calculatedColumnFormula>'h3'!E5</calculatedColumnFormula>
    </tableColumn>
    <tableColumn id="7" name="Volunteer" dataDxfId="22" dataCellStyle="Normal 4">
      <calculatedColumnFormula>'h3'!F5</calculatedColumnFormula>
    </tableColumn>
    <tableColumn id="8" name="All Staff Total" dataDxfId="21">
      <calculatedColumnFormula>SUM(C12:G12)</calculatedColumnFormula>
    </tableColumn>
    <tableColumn id="10" name="All Staff (excluding volunteers)" dataDxfId="20">
      <calculatedColumnFormula>H12-G12</calculatedColumnFormula>
    </tableColumn>
  </tableColumns>
  <tableStyleInfo showFirstColumn="0" showLastColumn="0" showRowStripes="1" showColumnStripes="0"/>
</table>
</file>

<file path=xl/tables/table2.xml><?xml version="1.0" encoding="utf-8"?>
<table xmlns="http://schemas.openxmlformats.org/spreadsheetml/2006/main" id="3" name="Table3" displayName="Table3" ref="A46:I63" totalsRowShown="0" headerRowDxfId="19">
  <tableColumns count="9">
    <tableColumn id="1" name="LSO Code" dataDxfId="18" dataCellStyle="Normal_Sheet1"/>
    <tableColumn id="2" name="Local Senior Officer Area" dataDxfId="17" dataCellStyle="Normal_Sheet1"/>
    <tableColumn id="3" name="Wholetime Operational" dataDxfId="16" dataCellStyle="Normal 4">
      <calculatedColumnFormula>'h3'!B38</calculatedColumnFormula>
    </tableColumn>
    <tableColumn id="4" name="Retained Duty System" dataDxfId="15" dataCellStyle="Normal_Sheet1">
      <calculatedColumnFormula>'h3'!C38</calculatedColumnFormula>
    </tableColumn>
    <tableColumn id="5" name="Control" dataDxfId="14" dataCellStyle="Normal_Sheet1">
      <calculatedColumnFormula>'h3'!D38</calculatedColumnFormula>
    </tableColumn>
    <tableColumn id="6" name="Support" dataDxfId="13">
      <calculatedColumnFormula>'h3'!E38</calculatedColumnFormula>
    </tableColumn>
    <tableColumn id="7" name="Volunteer" dataDxfId="12" dataCellStyle="Normal 4">
      <calculatedColumnFormula>'h3'!F38</calculatedColumnFormula>
    </tableColumn>
    <tableColumn id="8" name="All Staff Total" dataDxfId="11">
      <calculatedColumnFormula>SUM(C47:G47)</calculatedColumnFormula>
    </tableColumn>
    <tableColumn id="9" name="All Staff (excluding volunteers)" dataDxfId="10">
      <calculatedColumnFormula>H47-G47</calculatedColumnFormula>
    </tableColumn>
  </tableColumns>
  <tableStyleInfo showFirstColumn="0" showLastColumn="0" showRowStripes="1" showColumnStripes="0"/>
</table>
</file>

<file path=xl/tables/table3.xml><?xml version="1.0" encoding="utf-8"?>
<table xmlns="http://schemas.openxmlformats.org/spreadsheetml/2006/main" id="4" name="Table4" displayName="Table4" ref="A66:I69" totalsRowShown="0" headerRowDxfId="9">
  <tableColumns count="9">
    <tableColumn id="1" name="SDA Code" dataDxfId="8" dataCellStyle="Normal_Sheet1"/>
    <tableColumn id="2" name="Service Delivery Area" dataDxfId="7" dataCellStyle="Normal_Sheet1"/>
    <tableColumn id="3" name="Wholetime Operational" dataDxfId="6" dataCellStyle="Normal 4">
      <calculatedColumnFormula>'h3'!B56</calculatedColumnFormula>
    </tableColumn>
    <tableColumn id="4" name="Retained Duty System" dataDxfId="5" dataCellStyle="Normal_Sheet1">
      <calculatedColumnFormula>'h3'!C56</calculatedColumnFormula>
    </tableColumn>
    <tableColumn id="5" name="Control" dataDxfId="4" dataCellStyle="Normal_Sheet1">
      <calculatedColumnFormula>'h3'!D56</calculatedColumnFormula>
    </tableColumn>
    <tableColumn id="6" name="Support" dataDxfId="3">
      <calculatedColumnFormula>'h3'!E56</calculatedColumnFormula>
    </tableColumn>
    <tableColumn id="7" name="Volunteer" dataDxfId="2" dataCellStyle="Normal 4">
      <calculatedColumnFormula>'h3'!F56</calculatedColumnFormula>
    </tableColumn>
    <tableColumn id="8" name="All Staff Total" dataDxfId="1">
      <calculatedColumnFormula>SUM(C67:G67)</calculatedColumnFormula>
    </tableColumn>
    <tableColumn id="9" name="All Staff (excluding volunteers)" dataDxfId="0">
      <calculatedColumnFormula>H67-G67</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National.Statistics@firescotland.gov.uk" TargetMode="External"/><Relationship Id="rId2" Type="http://schemas.openxmlformats.org/officeDocument/2006/relationships/hyperlink" Target="http://www.firescotland.gov.uk/about-us/fire-and-rescue-statistics.aspx" TargetMode="External"/><Relationship Id="rId1" Type="http://schemas.openxmlformats.org/officeDocument/2006/relationships/hyperlink" Target="http://www.firescotland.gov.uk/about-us/fire-and-rescue-statistics.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microsoft.com/office/2007/relationships/slicer" Target="../slicers/slicer1.xml"/></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12.bin"/><Relationship Id="rId6" Type="http://schemas.microsoft.com/office/2007/relationships/slicer" Target="../slicers/slicer4.xml"/><Relationship Id="rId5" Type="http://schemas.openxmlformats.org/officeDocument/2006/relationships/table" Target="../tables/table3.xml"/><Relationship Id="rId4" Type="http://schemas.openxmlformats.org/officeDocument/2006/relationships/table" Target="../tables/table2.xml"/></Relationships>
</file>

<file path=xl/worksheets/_rels/sheet19.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microsoft.com/office/2007/relationships/slicer" Target="../slicers/slicer6.xml"/><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14.xml"/><Relationship Id="rId1" Type="http://schemas.openxmlformats.org/officeDocument/2006/relationships/pivotTable" Target="../pivotTables/pivotTable5.xml"/></Relationships>
</file>

<file path=xl/worksheets/_rels/sheet26.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5" Type="http://schemas.microsoft.com/office/2007/relationships/slicer" Target="../slicers/slicer12.xml"/><Relationship Id="rId4"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3" Type="http://schemas.microsoft.com/office/2007/relationships/slicer" Target="../slicers/slicer13.xml"/><Relationship Id="rId2" Type="http://schemas.openxmlformats.org/officeDocument/2006/relationships/drawing" Target="../drawings/drawing16.xml"/><Relationship Id="rId1" Type="http://schemas.openxmlformats.org/officeDocument/2006/relationships/pivotTable" Target="../pivotTables/pivotTable9.xml"/></Relationships>
</file>

<file path=xl/worksheets/_rels/sheet28.xml.rels><?xml version="1.0" encoding="UTF-8" standalone="yes"?>
<Relationships xmlns="http://schemas.openxmlformats.org/package/2006/relationships"><Relationship Id="rId3" Type="http://schemas.microsoft.com/office/2007/relationships/slicer" Target="../slicers/slicer14.xml"/><Relationship Id="rId2" Type="http://schemas.openxmlformats.org/officeDocument/2006/relationships/drawing" Target="../drawings/drawing17.xml"/><Relationship Id="rId1" Type="http://schemas.openxmlformats.org/officeDocument/2006/relationships/pivotTable" Target="../pivotTables/pivotTable10.xml"/></Relationships>
</file>

<file path=xl/worksheets/_rels/sheet29.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5" Type="http://schemas.microsoft.com/office/2007/relationships/slicer" Target="../slicers/slicer15.xml"/><Relationship Id="rId4"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microsoft.com/office/2007/relationships/slicer" Target="../slicers/slicer16.xml"/><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microsoft.com/office/2007/relationships/slicer" Target="../slicers/slicer17.xml"/><Relationship Id="rId2" Type="http://schemas.openxmlformats.org/officeDocument/2006/relationships/drawing" Target="../drawings/drawing20.xml"/><Relationship Id="rId1" Type="http://schemas.openxmlformats.org/officeDocument/2006/relationships/pivotTable" Target="../pivotTables/pivotTable14.xml"/></Relationships>
</file>

<file path=xl/worksheets/_rels/sheet32.xml.rels><?xml version="1.0" encoding="UTF-8" standalone="yes"?>
<Relationships xmlns="http://schemas.openxmlformats.org/package/2006/relationships"><Relationship Id="rId3" Type="http://schemas.microsoft.com/office/2007/relationships/slicer" Target="../slicers/slicer18.xml"/><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microsoft.com/office/2007/relationships/slicer" Target="../slicers/slicer19.xml"/><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microsoft.com/office/2007/relationships/slicer" Target="../slicers/slicer20.xml"/><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microsoft.com/office/2007/relationships/slicer" Target="../slicers/slicer21.xml"/><Relationship Id="rId2" Type="http://schemas.openxmlformats.org/officeDocument/2006/relationships/drawing" Target="../drawings/drawing24.xml"/><Relationship Id="rId1" Type="http://schemas.openxmlformats.org/officeDocument/2006/relationships/pivotTable" Target="../pivotTables/pivotTable15.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ivotTable" Target="../pivotTables/pivotTable17.xml"/><Relationship Id="rId1" Type="http://schemas.openxmlformats.org/officeDocument/2006/relationships/pivotTable" Target="../pivotTables/pivotTable16.xml"/><Relationship Id="rId4" Type="http://schemas.microsoft.com/office/2007/relationships/slicer" Target="../slicers/slicer22.xml"/></Relationships>
</file>

<file path=xl/worksheets/_rels/sheet38.xml.rels><?xml version="1.0" encoding="UTF-8" standalone="yes"?>
<Relationships xmlns="http://schemas.openxmlformats.org/package/2006/relationships"><Relationship Id="rId3" Type="http://schemas.microsoft.com/office/2007/relationships/slicer" Target="../slicers/slicer23.xml"/><Relationship Id="rId2" Type="http://schemas.openxmlformats.org/officeDocument/2006/relationships/drawing" Target="../drawings/drawing26.xml"/><Relationship Id="rId1" Type="http://schemas.openxmlformats.org/officeDocument/2006/relationships/pivotTable" Target="../pivotTables/pivotTable18.xml"/></Relationships>
</file>

<file path=xl/worksheets/_rels/sheet39.xml.rels><?xml version="1.0" encoding="UTF-8" standalone="yes"?>
<Relationships xmlns="http://schemas.openxmlformats.org/package/2006/relationships"><Relationship Id="rId3" Type="http://schemas.microsoft.com/office/2007/relationships/slicer" Target="../slicers/slicer24.xml"/><Relationship Id="rId2" Type="http://schemas.openxmlformats.org/officeDocument/2006/relationships/drawing" Target="../drawings/drawing27.xml"/><Relationship Id="rId1" Type="http://schemas.openxmlformats.org/officeDocument/2006/relationships/pivotTable" Target="../pivotTables/pivotTable19.xml"/></Relationships>
</file>

<file path=xl/worksheets/_rels/sheet40.xml.rels><?xml version="1.0" encoding="UTF-8" standalone="yes"?>
<Relationships xmlns="http://schemas.openxmlformats.org/package/2006/relationships"><Relationship Id="rId3" Type="http://schemas.microsoft.com/office/2007/relationships/slicer" Target="../slicers/slicer25.xml"/><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microsoft.com/office/2007/relationships/slicer" Target="../slicers/slicer26.xml"/><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3" Type="http://schemas.microsoft.com/office/2007/relationships/slicer" Target="../slicers/slicer27.xml"/><Relationship Id="rId2" Type="http://schemas.openxmlformats.org/officeDocument/2006/relationships/drawing" Target="../drawings/drawing30.xml"/><Relationship Id="rId1" Type="http://schemas.openxmlformats.org/officeDocument/2006/relationships/pivotTable" Target="../pivotTables/pivotTable20.xml"/></Relationships>
</file>

<file path=xl/worksheets/_rels/sheet43.xml.rels><?xml version="1.0" encoding="UTF-8" standalone="yes"?>
<Relationships xmlns="http://schemas.openxmlformats.org/package/2006/relationships"><Relationship Id="rId3" Type="http://schemas.microsoft.com/office/2007/relationships/slicer" Target="../slicers/slicer28.xml"/><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3" Type="http://schemas.microsoft.com/office/2007/relationships/slicer" Target="../slicers/slicer29.xml"/><Relationship Id="rId2" Type="http://schemas.openxmlformats.org/officeDocument/2006/relationships/drawing" Target="../drawings/drawing32.xml"/><Relationship Id="rId1" Type="http://schemas.openxmlformats.org/officeDocument/2006/relationships/pivotTable" Target="../pivotTables/pivotTable21.xml"/></Relationships>
</file>

<file path=xl/worksheets/_rels/sheet45.xml.rels><?xml version="1.0" encoding="UTF-8" standalone="yes"?>
<Relationships xmlns="http://schemas.openxmlformats.org/package/2006/relationships"><Relationship Id="rId3" Type="http://schemas.microsoft.com/office/2007/relationships/slicer" Target="../slicers/slicer30.xml"/><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3" Type="http://schemas.microsoft.com/office/2007/relationships/slicer" Target="../slicers/slicer31.xml"/><Relationship Id="rId2" Type="http://schemas.openxmlformats.org/officeDocument/2006/relationships/drawing" Target="../drawings/drawing34.xml"/><Relationship Id="rId1" Type="http://schemas.openxmlformats.org/officeDocument/2006/relationships/pivotTable" Target="../pivotTables/pivotTable2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ivotTable" Target="../pivotTables/pivotTable2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ivotTable" Target="../pivotTables/pivotTable25.xml"/><Relationship Id="rId1" Type="http://schemas.openxmlformats.org/officeDocument/2006/relationships/pivotTable" Target="../pivotTables/pivotTable24.xml"/><Relationship Id="rId4" Type="http://schemas.microsoft.com/office/2007/relationships/slicer" Target="../slicers/slicer32.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8.xml.rels><?xml version="1.0" encoding="UTF-8" standalone="yes"?>
<Relationships xmlns="http://schemas.openxmlformats.org/package/2006/relationships"><Relationship Id="rId2" Type="http://schemas.openxmlformats.org/officeDocument/2006/relationships/pivotTable" Target="../pivotTables/pivotTable27.xml"/><Relationship Id="rId1" Type="http://schemas.openxmlformats.org/officeDocument/2006/relationships/pivotTable" Target="../pivotTables/pivotTable26.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ivotTable" Target="../pivotTables/pivotTable28.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5.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nrscotland.gov.uk/statistics-and-data/statistics/statistics-by-theme/households/household-estimates" TargetMode="External"/><Relationship Id="rId1" Type="http://schemas.openxmlformats.org/officeDocument/2006/relationships/hyperlink" Target="https://www.nrscotland.gov.uk/statistics-and-data/statistics/statistics-by-theme/households/household-estimates/2016/list-of-tables" TargetMode="External"/></Relationships>
</file>

<file path=xl/worksheets/_rels/sheet65.xml.rels><?xml version="1.0" encoding="UTF-8" standalone="yes"?>
<Relationships xmlns="http://schemas.openxmlformats.org/package/2006/relationships"><Relationship Id="rId2" Type="http://schemas.openxmlformats.org/officeDocument/2006/relationships/hyperlink" Target="https://www.nrscotland.gov.uk/statistics-and-data/statistics/statistics-by-theme/households/household-estimates" TargetMode="External"/><Relationship Id="rId1" Type="http://schemas.openxmlformats.org/officeDocument/2006/relationships/hyperlink" Target="https://www.nrscotland.gov.uk/statistics-and-data/statistics/statistics-by-theme/households/household-estimates"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small-area-statistics-on-households-and-dwellings" TargetMode="External"/><Relationship Id="rId2" Type="http://schemas.openxmlformats.org/officeDocument/2006/relationships/hyperlink" Target="https://www2.gov.scot/Topics/Statistics/SIMD" TargetMode="External"/><Relationship Id="rId1" Type="http://schemas.openxmlformats.org/officeDocument/2006/relationships/hyperlink" Target="https://www2.gov.scot/Topics/Statistics/SIMD"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small-area-statistics-on-households-and-dwellings" TargetMode="External"/><Relationship Id="rId2" Type="http://schemas.openxmlformats.org/officeDocument/2006/relationships/hyperlink" Target="https://www2.gov.scot/Topics/Statistics/About/Methodology/UrbanRuralClassification" TargetMode="External"/><Relationship Id="rId1" Type="http://schemas.openxmlformats.org/officeDocument/2006/relationships/hyperlink" Target="https://www2.gov.scot/Topics/Statistics/About/Methodology/UrbanRuralClassification" TargetMode="External"/></Relationships>
</file>

<file path=xl/worksheets/_rels/sheet69.xml.rels><?xml version="1.0" encoding="UTF-8" standalone="yes"?>
<Relationships xmlns="http://schemas.openxmlformats.org/package/2006/relationships"><Relationship Id="rId3" Type="http://schemas.microsoft.com/office/2007/relationships/slicer" Target="../slicers/slicer33.xml"/><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70.xml.rels><?xml version="1.0" encoding="UTF-8" standalone="yes"?>
<Relationships xmlns="http://schemas.openxmlformats.org/package/2006/relationships"><Relationship Id="rId3" Type="http://schemas.microsoft.com/office/2007/relationships/slicer" Target="../slicers/slicer34.xml"/><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71.xml.rels><?xml version="1.0" encoding="UTF-8" standalone="yes"?>
<Relationships xmlns="http://schemas.openxmlformats.org/package/2006/relationships"><Relationship Id="rId3" Type="http://schemas.microsoft.com/office/2007/relationships/slicer" Target="../slicers/slicer35.xml"/><Relationship Id="rId2" Type="http://schemas.openxmlformats.org/officeDocument/2006/relationships/drawing" Target="../drawings/drawing50.xml"/><Relationship Id="rId1" Type="http://schemas.openxmlformats.org/officeDocument/2006/relationships/pivotTable" Target="../pivotTables/pivotTable29.xml"/></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www.nrscotland.gov.uk/statistics-and-data/statistics/statistics-by-theme/households/household-estimates" TargetMode="External"/><Relationship Id="rId1" Type="http://schemas.openxmlformats.org/officeDocument/2006/relationships/hyperlink" Target="https://www.nrscotland.gov.uk/statistics-and-data/statistics/statistics-by-theme/households/household-estimates/2016/list-of-tables" TargetMode="External"/><Relationship Id="rId5" Type="http://schemas.microsoft.com/office/2007/relationships/slicer" Target="../slicers/slicer36.xml"/><Relationship Id="rId4" Type="http://schemas.openxmlformats.org/officeDocument/2006/relationships/drawing" Target="../drawings/drawing51.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3" Type="http://schemas.microsoft.com/office/2007/relationships/slicer" Target="../slicers/slicer37.xml"/><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81.xml.rels><?xml version="1.0" encoding="UTF-8" standalone="yes"?>
<Relationships xmlns="http://schemas.openxmlformats.org/package/2006/relationships"><Relationship Id="rId3" Type="http://schemas.microsoft.com/office/2007/relationships/slicer" Target="../slicers/slicer38.xml"/><Relationship Id="rId2" Type="http://schemas.openxmlformats.org/officeDocument/2006/relationships/drawing" Target="../drawings/drawing58.xml"/><Relationship Id="rId1" Type="http://schemas.openxmlformats.org/officeDocument/2006/relationships/pivotTable" Target="../pivotTables/pivotTable30.xml"/></Relationships>
</file>

<file path=xl/worksheets/_rels/sheet82.xml.rels><?xml version="1.0" encoding="UTF-8" standalone="yes"?>
<Relationships xmlns="http://schemas.openxmlformats.org/package/2006/relationships"><Relationship Id="rId3" Type="http://schemas.microsoft.com/office/2007/relationships/slicer" Target="../slicers/slicer39.xml"/><Relationship Id="rId2" Type="http://schemas.openxmlformats.org/officeDocument/2006/relationships/drawing" Target="../drawings/drawing59.xml"/><Relationship Id="rId1" Type="http://schemas.openxmlformats.org/officeDocument/2006/relationships/printerSettings" Target="../printerSettings/printerSettings45.bin"/></Relationships>
</file>

<file path=xl/worksheets/_rels/sheet83.xml.rels><?xml version="1.0" encoding="UTF-8" standalone="yes"?>
<Relationships xmlns="http://schemas.openxmlformats.org/package/2006/relationships"><Relationship Id="rId3" Type="http://schemas.microsoft.com/office/2007/relationships/slicer" Target="../slicers/slicer40.xml"/><Relationship Id="rId2" Type="http://schemas.openxmlformats.org/officeDocument/2006/relationships/drawing" Target="../drawings/drawing60.xml"/><Relationship Id="rId1" Type="http://schemas.openxmlformats.org/officeDocument/2006/relationships/pivotTable" Target="../pivotTables/pivotTable31.xml"/></Relationships>
</file>

<file path=xl/worksheets/_rels/sheet84.xml.rels><?xml version="1.0" encoding="UTF-8" standalone="yes"?>
<Relationships xmlns="http://schemas.openxmlformats.org/package/2006/relationships"><Relationship Id="rId3" Type="http://schemas.microsoft.com/office/2007/relationships/slicer" Target="../slicers/slicer41.xml"/><Relationship Id="rId2" Type="http://schemas.openxmlformats.org/officeDocument/2006/relationships/drawing" Target="../drawings/drawing61.xml"/><Relationship Id="rId1" Type="http://schemas.openxmlformats.org/officeDocument/2006/relationships/printerSettings" Target="../printerSettings/printerSettings46.bin"/></Relationships>
</file>

<file path=xl/worksheets/_rels/sheet85.xml.rels><?xml version="1.0" encoding="UTF-8" standalone="yes"?>
<Relationships xmlns="http://schemas.openxmlformats.org/package/2006/relationships"><Relationship Id="rId3" Type="http://schemas.microsoft.com/office/2007/relationships/slicer" Target="../slicers/slicer42.xml"/><Relationship Id="rId2" Type="http://schemas.openxmlformats.org/officeDocument/2006/relationships/drawing" Target="../drawings/drawing62.xml"/><Relationship Id="rId1" Type="http://schemas.openxmlformats.org/officeDocument/2006/relationships/pivotTable" Target="../pivotTables/pivotTable32.xm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7.xml.rels><?xml version="1.0" encoding="UTF-8" standalone="yes"?>
<Relationships xmlns="http://schemas.openxmlformats.org/package/2006/relationships"><Relationship Id="rId2" Type="http://schemas.microsoft.com/office/2007/relationships/slicer" Target="../slicers/slicer43.xml"/><Relationship Id="rId1" Type="http://schemas.openxmlformats.org/officeDocument/2006/relationships/drawing" Target="../drawings/drawing63.xml"/></Relationships>
</file>

<file path=xl/worksheets/_rels/sheet88.xml.rels><?xml version="1.0" encoding="UTF-8" standalone="yes"?>
<Relationships xmlns="http://schemas.openxmlformats.org/package/2006/relationships"><Relationship Id="rId3" Type="http://schemas.microsoft.com/office/2007/relationships/slicer" Target="../slicers/slicer44.xml"/><Relationship Id="rId2" Type="http://schemas.openxmlformats.org/officeDocument/2006/relationships/drawing" Target="../drawings/drawing64.xml"/><Relationship Id="rId1" Type="http://schemas.openxmlformats.org/officeDocument/2006/relationships/pivotTable" Target="../pivotTables/pivotTable33.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387"/>
  <sheetViews>
    <sheetView showGridLines="0" tabSelected="1" zoomScaleNormal="100" workbookViewId="0"/>
  </sheetViews>
  <sheetFormatPr defaultRowHeight="15" x14ac:dyDescent="0.25"/>
  <cols>
    <col min="1" max="1" width="15" style="485" customWidth="1"/>
    <col min="2" max="2" width="7.7109375" style="485" customWidth="1"/>
    <col min="3" max="3" width="15" style="485" customWidth="1"/>
    <col min="4" max="16384" width="9.140625" style="485"/>
  </cols>
  <sheetData>
    <row r="1" spans="1:13" ht="23.25" x14ac:dyDescent="0.25">
      <c r="A1" s="989"/>
      <c r="B1" s="567"/>
      <c r="C1" s="567"/>
      <c r="D1" s="567"/>
      <c r="E1" s="567"/>
      <c r="F1" s="568" t="s">
        <v>515</v>
      </c>
      <c r="G1" s="567"/>
      <c r="H1" s="567"/>
      <c r="I1" s="567"/>
      <c r="J1" s="567"/>
      <c r="K1" s="567"/>
      <c r="L1" s="484"/>
      <c r="M1" s="484"/>
    </row>
    <row r="2" spans="1:13" ht="23.25" x14ac:dyDescent="0.25">
      <c r="A2" s="567"/>
      <c r="B2" s="567"/>
      <c r="C2" s="567"/>
      <c r="D2" s="567"/>
      <c r="E2" s="567"/>
      <c r="F2" s="568" t="s">
        <v>514</v>
      </c>
      <c r="G2" s="567"/>
      <c r="H2" s="567"/>
      <c r="I2" s="567"/>
      <c r="J2" s="567"/>
      <c r="K2" s="567"/>
      <c r="L2" s="484"/>
      <c r="M2" s="484"/>
    </row>
    <row r="3" spans="1:13" ht="15.75" customHeight="1" x14ac:dyDescent="0.25">
      <c r="A3" s="486"/>
      <c r="B3" s="486"/>
      <c r="C3" s="486"/>
      <c r="D3" s="563"/>
      <c r="E3" s="486"/>
      <c r="F3" s="487" t="s">
        <v>0</v>
      </c>
      <c r="G3" s="486"/>
      <c r="H3" s="563"/>
      <c r="I3" s="563"/>
      <c r="J3" s="563"/>
      <c r="K3" s="563"/>
      <c r="L3" s="563"/>
    </row>
    <row r="4" spans="1:13" ht="15.75" customHeight="1" x14ac:dyDescent="0.25">
      <c r="A4" s="488"/>
      <c r="B4" s="488"/>
      <c r="C4" s="488"/>
      <c r="D4" s="563"/>
      <c r="E4" s="488"/>
      <c r="F4" s="489" t="s">
        <v>512</v>
      </c>
      <c r="G4" s="488"/>
      <c r="H4" s="563"/>
      <c r="I4" s="563"/>
      <c r="J4" s="563"/>
      <c r="K4" s="563"/>
      <c r="L4" s="563"/>
    </row>
    <row r="5" spans="1:13" ht="15.75" x14ac:dyDescent="0.25">
      <c r="A5" s="564"/>
      <c r="B5" s="564"/>
      <c r="C5" s="564"/>
      <c r="D5" s="563"/>
      <c r="E5" s="564"/>
      <c r="F5" s="565" t="s">
        <v>513</v>
      </c>
      <c r="G5" s="564"/>
      <c r="H5" s="563"/>
      <c r="I5" s="563"/>
      <c r="J5" s="563"/>
      <c r="K5" s="563"/>
      <c r="L5" s="563"/>
    </row>
    <row r="6" spans="1:13" ht="15.75" x14ac:dyDescent="0.25">
      <c r="A6" s="564"/>
      <c r="B6" s="564"/>
      <c r="C6" s="564"/>
      <c r="D6" s="563"/>
      <c r="E6" s="564"/>
      <c r="F6" s="565"/>
      <c r="G6" s="564"/>
      <c r="H6" s="563"/>
      <c r="I6" s="563"/>
      <c r="J6" s="563"/>
      <c r="K6" s="563"/>
      <c r="L6" s="563"/>
    </row>
    <row r="7" spans="1:13" ht="15.75" x14ac:dyDescent="0.25">
      <c r="A7" s="490"/>
      <c r="B7" s="491" t="s">
        <v>522</v>
      </c>
      <c r="D7" s="563"/>
      <c r="E7" s="490"/>
      <c r="F7" s="563"/>
      <c r="G7" s="490"/>
      <c r="H7" s="563"/>
      <c r="I7" s="563"/>
      <c r="J7" s="563"/>
      <c r="K7" s="563"/>
      <c r="L7" s="563"/>
    </row>
    <row r="8" spans="1:13" ht="15.75" x14ac:dyDescent="0.25">
      <c r="A8" s="490"/>
      <c r="B8" s="491"/>
      <c r="C8" s="491" t="s">
        <v>1060</v>
      </c>
      <c r="D8" s="563"/>
      <c r="E8" s="490"/>
      <c r="F8" s="563"/>
      <c r="G8" s="490"/>
      <c r="H8" s="563"/>
      <c r="I8" s="563"/>
      <c r="J8" s="563"/>
      <c r="K8" s="563"/>
      <c r="L8" s="563"/>
    </row>
    <row r="9" spans="1:13" ht="15.75" customHeight="1" x14ac:dyDescent="0.25">
      <c r="A9" s="486"/>
      <c r="B9" s="486"/>
      <c r="C9" s="491" t="s">
        <v>516</v>
      </c>
      <c r="D9" s="563"/>
      <c r="F9" s="486"/>
      <c r="G9" s="486"/>
      <c r="H9" s="563"/>
      <c r="I9" s="563"/>
      <c r="J9" s="563"/>
      <c r="K9" s="563"/>
      <c r="L9" s="563"/>
    </row>
    <row r="10" spans="1:13" ht="15.75" customHeight="1" x14ac:dyDescent="0.25">
      <c r="A10" s="486"/>
      <c r="B10" s="486"/>
      <c r="C10" s="491" t="s">
        <v>517</v>
      </c>
      <c r="D10" s="563"/>
      <c r="F10" s="486"/>
      <c r="G10" s="486"/>
      <c r="H10" s="563"/>
      <c r="I10" s="563"/>
      <c r="J10" s="563"/>
      <c r="K10" s="563"/>
      <c r="L10" s="563"/>
    </row>
    <row r="11" spans="1:13" ht="15.75" customHeight="1" x14ac:dyDescent="0.25">
      <c r="A11" s="486"/>
      <c r="B11" s="486"/>
      <c r="C11" s="491" t="s">
        <v>220</v>
      </c>
      <c r="D11" s="563"/>
      <c r="F11" s="486"/>
      <c r="G11" s="486"/>
      <c r="H11" s="563"/>
      <c r="I11" s="563"/>
      <c r="J11" s="563"/>
      <c r="K11" s="563"/>
      <c r="L11" s="563"/>
    </row>
    <row r="12" spans="1:13" ht="15.75" customHeight="1" x14ac:dyDescent="0.25">
      <c r="A12" s="486"/>
      <c r="B12" s="486"/>
      <c r="C12" s="491" t="s">
        <v>518</v>
      </c>
      <c r="D12" s="563"/>
      <c r="F12" s="486"/>
      <c r="G12" s="486"/>
      <c r="H12" s="563"/>
      <c r="I12" s="563"/>
      <c r="J12" s="563"/>
      <c r="K12" s="563"/>
      <c r="L12" s="563"/>
    </row>
    <row r="13" spans="1:13" ht="15.75" customHeight="1" x14ac:dyDescent="0.25">
      <c r="A13" s="486"/>
      <c r="B13" s="486"/>
      <c r="C13" s="491" t="s">
        <v>224</v>
      </c>
      <c r="D13" s="563"/>
      <c r="F13" s="486"/>
      <c r="G13" s="486"/>
      <c r="H13" s="563"/>
      <c r="I13" s="563"/>
      <c r="J13" s="563"/>
      <c r="K13" s="563"/>
      <c r="L13" s="563"/>
    </row>
    <row r="14" spans="1:13" ht="15.75" customHeight="1" x14ac:dyDescent="0.25">
      <c r="A14" s="486"/>
      <c r="B14" s="486"/>
      <c r="C14" s="491" t="s">
        <v>519</v>
      </c>
      <c r="D14" s="563"/>
      <c r="F14" s="486"/>
      <c r="G14" s="486"/>
      <c r="H14" s="563"/>
      <c r="I14" s="563"/>
      <c r="J14" s="563"/>
      <c r="K14" s="563"/>
      <c r="L14" s="563"/>
    </row>
    <row r="15" spans="1:13" ht="15.75" customHeight="1" x14ac:dyDescent="0.25">
      <c r="A15" s="486"/>
      <c r="B15" s="486"/>
      <c r="C15" s="491"/>
      <c r="D15" s="563"/>
      <c r="F15" s="486"/>
      <c r="G15" s="486"/>
      <c r="H15" s="563"/>
      <c r="I15" s="563"/>
      <c r="J15" s="563"/>
      <c r="K15" s="563"/>
      <c r="L15" s="563"/>
    </row>
    <row r="16" spans="1:13" ht="15" customHeight="1" x14ac:dyDescent="0.25">
      <c r="A16" s="486"/>
      <c r="B16" s="990" t="s">
        <v>736</v>
      </c>
      <c r="C16" s="990"/>
      <c r="D16" s="990"/>
      <c r="E16" s="990"/>
      <c r="F16" s="990"/>
      <c r="G16" s="990"/>
      <c r="H16" s="990"/>
      <c r="I16" s="990"/>
      <c r="J16" s="990"/>
      <c r="K16" s="990"/>
      <c r="L16" s="563"/>
    </row>
    <row r="17" spans="1:12" ht="15" customHeight="1" x14ac:dyDescent="0.25">
      <c r="A17" s="486"/>
      <c r="B17" s="970" t="s">
        <v>737</v>
      </c>
      <c r="C17" s="964"/>
      <c r="D17" s="964"/>
      <c r="E17" s="964"/>
      <c r="F17" s="964"/>
      <c r="G17" s="964"/>
      <c r="H17" s="964"/>
      <c r="I17" s="964"/>
      <c r="J17" s="964"/>
      <c r="K17" s="964"/>
      <c r="L17" s="563"/>
    </row>
    <row r="18" spans="1:12" ht="15" customHeight="1" x14ac:dyDescent="0.25">
      <c r="A18" s="486"/>
      <c r="B18" s="970"/>
      <c r="C18" s="964"/>
      <c r="D18" s="964"/>
      <c r="E18" s="964"/>
      <c r="F18" s="964"/>
      <c r="G18" s="964"/>
      <c r="H18" s="964"/>
      <c r="I18" s="964"/>
      <c r="J18" s="964"/>
      <c r="K18" s="964"/>
      <c r="L18" s="563"/>
    </row>
    <row r="19" spans="1:12" ht="30" customHeight="1" x14ac:dyDescent="0.25">
      <c r="A19" s="486"/>
      <c r="B19" s="990" t="s">
        <v>520</v>
      </c>
      <c r="C19" s="990"/>
      <c r="D19" s="990"/>
      <c r="E19" s="990"/>
      <c r="F19" s="990"/>
      <c r="G19" s="990"/>
      <c r="H19" s="990"/>
      <c r="I19" s="990"/>
      <c r="J19" s="990"/>
      <c r="K19" s="990"/>
      <c r="L19" s="563"/>
    </row>
    <row r="20" spans="1:12" ht="30" customHeight="1" x14ac:dyDescent="0.25">
      <c r="A20" s="486"/>
      <c r="B20" s="990" t="s">
        <v>521</v>
      </c>
      <c r="C20" s="990"/>
      <c r="D20" s="990"/>
      <c r="E20" s="990"/>
      <c r="F20" s="990"/>
      <c r="G20" s="990"/>
      <c r="H20" s="990"/>
      <c r="I20" s="990"/>
      <c r="J20" s="990"/>
      <c r="K20" s="990"/>
      <c r="L20" s="563"/>
    </row>
    <row r="21" spans="1:12" ht="15.75" x14ac:dyDescent="0.25">
      <c r="A21" s="486"/>
      <c r="B21" s="366"/>
      <c r="C21" s="366"/>
      <c r="D21" s="366"/>
      <c r="E21" s="366"/>
      <c r="F21" s="366"/>
      <c r="G21" s="366"/>
      <c r="H21" s="563"/>
      <c r="I21" s="563"/>
      <c r="J21" s="563"/>
      <c r="K21" s="563"/>
      <c r="L21" s="563"/>
    </row>
    <row r="22" spans="1:12" ht="15.75" x14ac:dyDescent="0.25">
      <c r="A22" s="490"/>
      <c r="B22" s="991" t="s">
        <v>246</v>
      </c>
      <c r="C22" s="991"/>
      <c r="D22" s="991"/>
      <c r="E22" s="991"/>
      <c r="F22" s="566" t="s">
        <v>225</v>
      </c>
      <c r="G22" s="490"/>
      <c r="H22" s="563"/>
      <c r="I22" s="563"/>
      <c r="J22" s="563"/>
      <c r="K22" s="563"/>
      <c r="L22" s="563"/>
    </row>
    <row r="23" spans="1:12" ht="18" customHeight="1" x14ac:dyDescent="0.25">
      <c r="A23"/>
      <c r="B23"/>
      <c r="C23"/>
      <c r="D23"/>
      <c r="E23"/>
      <c r="F23"/>
      <c r="G23" s="492"/>
      <c r="H23" s="563"/>
      <c r="I23" s="563"/>
      <c r="J23" s="563"/>
      <c r="K23" s="563"/>
      <c r="L23" s="563"/>
    </row>
    <row r="24" spans="1:12" ht="15.75" x14ac:dyDescent="0.25">
      <c r="A24"/>
      <c r="B24" s="491" t="s">
        <v>1064</v>
      </c>
      <c r="C24"/>
      <c r="D24"/>
      <c r="E24"/>
      <c r="F24"/>
      <c r="G24" s="366"/>
      <c r="H24" s="563"/>
      <c r="I24" s="563"/>
      <c r="J24" s="563"/>
      <c r="K24" s="563"/>
      <c r="L24" s="563"/>
    </row>
    <row r="25" spans="1:12" ht="15.75" x14ac:dyDescent="0.25">
      <c r="A25"/>
      <c r="B25"/>
      <c r="C25"/>
      <c r="D25"/>
      <c r="E25"/>
      <c r="F25"/>
      <c r="G25" s="366"/>
      <c r="H25" s="563"/>
      <c r="I25" s="563"/>
      <c r="J25" s="563"/>
      <c r="K25" s="563"/>
      <c r="L25" s="563"/>
    </row>
    <row r="26" spans="1:12" ht="15.75" x14ac:dyDescent="0.25">
      <c r="A26"/>
      <c r="B26"/>
      <c r="C26"/>
      <c r="D26"/>
      <c r="E26"/>
      <c r="F26"/>
      <c r="G26" s="366"/>
      <c r="H26" s="563"/>
      <c r="I26" s="563"/>
      <c r="J26" s="563"/>
      <c r="K26" s="563"/>
      <c r="L26" s="563"/>
    </row>
    <row r="27" spans="1:12" ht="15.75" x14ac:dyDescent="0.25">
      <c r="A27"/>
      <c r="B27"/>
      <c r="C27"/>
      <c r="D27"/>
      <c r="E27"/>
      <c r="F27"/>
      <c r="G27" s="563"/>
      <c r="H27" s="563"/>
      <c r="I27" s="563"/>
      <c r="J27" s="563"/>
      <c r="K27" s="563"/>
      <c r="L27" s="563"/>
    </row>
    <row r="28" spans="1:12" ht="15.75" x14ac:dyDescent="0.25">
      <c r="A28"/>
      <c r="B28"/>
      <c r="C28"/>
      <c r="D28"/>
      <c r="E28"/>
      <c r="F28"/>
      <c r="G28" s="563"/>
      <c r="H28" s="563"/>
      <c r="I28" s="563"/>
      <c r="J28" s="563"/>
      <c r="K28" s="563"/>
      <c r="L28" s="563"/>
    </row>
    <row r="29" spans="1:12" x14ac:dyDescent="0.25">
      <c r="A29"/>
      <c r="B29"/>
      <c r="C29"/>
      <c r="D29"/>
      <c r="E29"/>
      <c r="F29"/>
    </row>
    <row r="30" spans="1:12" x14ac:dyDescent="0.25">
      <c r="A30"/>
      <c r="B30"/>
      <c r="C30"/>
      <c r="D30"/>
      <c r="E30"/>
      <c r="F30"/>
    </row>
    <row r="31" spans="1:12" x14ac:dyDescent="0.25">
      <c r="B31"/>
      <c r="C31"/>
      <c r="D31"/>
      <c r="E31"/>
      <c r="F31"/>
    </row>
    <row r="32" spans="1:12" x14ac:dyDescent="0.25">
      <c r="B32"/>
      <c r="C32"/>
      <c r="D32"/>
      <c r="E32"/>
      <c r="F32"/>
    </row>
    <row r="33" spans="2:6" x14ac:dyDescent="0.25">
      <c r="B33"/>
      <c r="C33"/>
      <c r="D33"/>
      <c r="E33"/>
      <c r="F33"/>
    </row>
    <row r="34" spans="2:6" x14ac:dyDescent="0.25">
      <c r="B34"/>
      <c r="C34"/>
      <c r="D34"/>
      <c r="E34"/>
      <c r="F34"/>
    </row>
    <row r="35" spans="2:6" x14ac:dyDescent="0.25">
      <c r="B35"/>
      <c r="C35"/>
      <c r="D35"/>
      <c r="E35"/>
      <c r="F35"/>
    </row>
    <row r="36" spans="2:6" x14ac:dyDescent="0.25">
      <c r="B36"/>
      <c r="C36"/>
      <c r="D36"/>
      <c r="E36"/>
      <c r="F36"/>
    </row>
    <row r="37" spans="2:6" x14ac:dyDescent="0.25">
      <c r="B37"/>
      <c r="C37"/>
      <c r="D37"/>
      <c r="E37"/>
      <c r="F37"/>
    </row>
    <row r="38" spans="2:6" x14ac:dyDescent="0.25">
      <c r="B38"/>
      <c r="C38"/>
      <c r="D38"/>
      <c r="E38"/>
      <c r="F38"/>
    </row>
    <row r="39" spans="2:6" x14ac:dyDescent="0.25">
      <c r="B39"/>
      <c r="C39"/>
      <c r="D39"/>
      <c r="E39"/>
      <c r="F39"/>
    </row>
    <row r="40" spans="2:6" x14ac:dyDescent="0.25">
      <c r="B40"/>
      <c r="C40"/>
      <c r="D40"/>
      <c r="E40"/>
      <c r="F40"/>
    </row>
    <row r="41" spans="2:6" x14ac:dyDescent="0.25">
      <c r="B41"/>
      <c r="C41"/>
      <c r="D41"/>
      <c r="E41"/>
      <c r="F41"/>
    </row>
    <row r="42" spans="2:6" x14ac:dyDescent="0.25">
      <c r="B42"/>
      <c r="C42"/>
      <c r="D42"/>
      <c r="E42"/>
      <c r="F42"/>
    </row>
    <row r="43" spans="2:6" x14ac:dyDescent="0.25">
      <c r="B43"/>
      <c r="C43"/>
      <c r="D43"/>
      <c r="E43"/>
      <c r="F43"/>
    </row>
    <row r="44" spans="2:6" x14ac:dyDescent="0.25">
      <c r="B44"/>
      <c r="C44"/>
      <c r="D44"/>
      <c r="E44"/>
      <c r="F44"/>
    </row>
    <row r="45" spans="2:6" x14ac:dyDescent="0.25">
      <c r="B45"/>
      <c r="C45"/>
      <c r="D45"/>
      <c r="E45"/>
      <c r="F45"/>
    </row>
    <row r="46" spans="2:6" x14ac:dyDescent="0.25">
      <c r="B46"/>
      <c r="C46"/>
      <c r="D46"/>
      <c r="E46"/>
      <c r="F46"/>
    </row>
    <row r="47" spans="2:6" x14ac:dyDescent="0.25">
      <c r="B47"/>
      <c r="C47"/>
      <c r="D47"/>
      <c r="E47"/>
      <c r="F47"/>
    </row>
    <row r="48" spans="2:6" x14ac:dyDescent="0.25">
      <c r="B48"/>
      <c r="C48"/>
      <c r="D48"/>
      <c r="E48"/>
      <c r="F48"/>
    </row>
    <row r="49" spans="2:6" x14ac:dyDescent="0.25">
      <c r="B49"/>
      <c r="C49"/>
      <c r="D49"/>
      <c r="E49"/>
      <c r="F49"/>
    </row>
    <row r="50" spans="2:6" x14ac:dyDescent="0.25">
      <c r="B50"/>
      <c r="C50"/>
      <c r="D50"/>
      <c r="E50"/>
      <c r="F50"/>
    </row>
    <row r="51" spans="2:6" x14ac:dyDescent="0.25">
      <c r="B51"/>
      <c r="C51"/>
      <c r="D51"/>
      <c r="E51"/>
      <c r="F51"/>
    </row>
    <row r="52" spans="2:6" x14ac:dyDescent="0.25">
      <c r="B52"/>
      <c r="C52"/>
      <c r="D52"/>
      <c r="E52"/>
      <c r="F52"/>
    </row>
    <row r="53" spans="2:6" x14ac:dyDescent="0.25">
      <c r="B53"/>
      <c r="C53"/>
      <c r="D53"/>
      <c r="E53"/>
      <c r="F53"/>
    </row>
    <row r="54" spans="2:6" x14ac:dyDescent="0.25">
      <c r="B54"/>
      <c r="C54"/>
      <c r="D54"/>
      <c r="E54"/>
      <c r="F54"/>
    </row>
    <row r="55" spans="2:6" x14ac:dyDescent="0.25">
      <c r="B55"/>
      <c r="C55"/>
      <c r="D55"/>
      <c r="E55"/>
      <c r="F55"/>
    </row>
    <row r="56" spans="2:6" x14ac:dyDescent="0.25">
      <c r="B56"/>
      <c r="C56"/>
      <c r="D56"/>
      <c r="E56"/>
      <c r="F56"/>
    </row>
    <row r="57" spans="2:6" x14ac:dyDescent="0.25">
      <c r="B57"/>
      <c r="C57"/>
      <c r="D57"/>
      <c r="E57"/>
      <c r="F57"/>
    </row>
    <row r="58" spans="2:6" x14ac:dyDescent="0.25">
      <c r="B58"/>
      <c r="C58"/>
      <c r="D58"/>
      <c r="E58"/>
      <c r="F58"/>
    </row>
    <row r="59" spans="2:6" x14ac:dyDescent="0.25">
      <c r="B59"/>
      <c r="C59"/>
      <c r="D59"/>
      <c r="E59"/>
      <c r="F59"/>
    </row>
    <row r="60" spans="2:6" x14ac:dyDescent="0.25">
      <c r="B60"/>
      <c r="C60"/>
      <c r="D60"/>
      <c r="E60"/>
      <c r="F60"/>
    </row>
    <row r="61" spans="2:6" x14ac:dyDescent="0.25">
      <c r="B61"/>
      <c r="C61"/>
      <c r="D61"/>
      <c r="E61"/>
      <c r="F61"/>
    </row>
    <row r="62" spans="2:6" x14ac:dyDescent="0.25">
      <c r="B62"/>
      <c r="C62"/>
      <c r="D62"/>
      <c r="E62"/>
      <c r="F62"/>
    </row>
    <row r="63" spans="2:6" x14ac:dyDescent="0.25">
      <c r="B63"/>
      <c r="C63"/>
      <c r="D63"/>
      <c r="E63"/>
      <c r="F63"/>
    </row>
    <row r="64" spans="2:6" x14ac:dyDescent="0.25">
      <c r="B64"/>
      <c r="C64"/>
      <c r="D64"/>
      <c r="E64"/>
      <c r="F64"/>
    </row>
    <row r="65" spans="2:6" x14ac:dyDescent="0.25">
      <c r="B65"/>
      <c r="C65"/>
      <c r="D65"/>
      <c r="E65"/>
      <c r="F65"/>
    </row>
    <row r="66" spans="2:6" x14ac:dyDescent="0.25">
      <c r="B66"/>
      <c r="C66"/>
      <c r="D66"/>
      <c r="E66"/>
      <c r="F66"/>
    </row>
    <row r="67" spans="2:6" x14ac:dyDescent="0.25">
      <c r="B67"/>
      <c r="C67"/>
      <c r="D67"/>
      <c r="E67"/>
      <c r="F67"/>
    </row>
    <row r="68" spans="2:6" x14ac:dyDescent="0.25">
      <c r="B68"/>
      <c r="C68"/>
      <c r="D68"/>
      <c r="E68"/>
      <c r="F68"/>
    </row>
    <row r="69" spans="2:6" x14ac:dyDescent="0.25">
      <c r="B69"/>
      <c r="C69"/>
      <c r="D69"/>
      <c r="E69"/>
      <c r="F69"/>
    </row>
    <row r="70" spans="2:6" x14ac:dyDescent="0.25">
      <c r="B70"/>
      <c r="C70"/>
      <c r="D70"/>
      <c r="E70"/>
      <c r="F70"/>
    </row>
    <row r="71" spans="2:6" x14ac:dyDescent="0.25">
      <c r="B71"/>
      <c r="C71"/>
      <c r="D71"/>
      <c r="E71"/>
      <c r="F71"/>
    </row>
    <row r="72" spans="2:6" x14ac:dyDescent="0.25">
      <c r="B72"/>
      <c r="C72"/>
      <c r="D72"/>
      <c r="E72"/>
      <c r="F72"/>
    </row>
    <row r="73" spans="2:6" x14ac:dyDescent="0.25">
      <c r="B73"/>
      <c r="C73"/>
      <c r="D73"/>
      <c r="E73"/>
      <c r="F73"/>
    </row>
    <row r="74" spans="2:6" x14ac:dyDescent="0.25">
      <c r="B74"/>
      <c r="C74"/>
      <c r="D74"/>
      <c r="E74"/>
      <c r="F74"/>
    </row>
    <row r="75" spans="2:6" x14ac:dyDescent="0.25">
      <c r="B75"/>
      <c r="C75"/>
      <c r="D75"/>
      <c r="E75"/>
      <c r="F75"/>
    </row>
    <row r="76" spans="2:6" x14ac:dyDescent="0.25">
      <c r="B76"/>
      <c r="C76"/>
      <c r="D76"/>
      <c r="E76"/>
      <c r="F76"/>
    </row>
    <row r="77" spans="2:6" x14ac:dyDescent="0.25">
      <c r="B77"/>
      <c r="C77"/>
      <c r="D77"/>
      <c r="E77"/>
      <c r="F77"/>
    </row>
    <row r="78" spans="2:6" x14ac:dyDescent="0.25">
      <c r="B78"/>
      <c r="C78"/>
      <c r="D78"/>
      <c r="E78"/>
      <c r="F78"/>
    </row>
    <row r="79" spans="2:6" x14ac:dyDescent="0.25">
      <c r="B79"/>
      <c r="C79"/>
      <c r="D79"/>
      <c r="E79"/>
      <c r="F79"/>
    </row>
    <row r="80" spans="2:6" x14ac:dyDescent="0.25">
      <c r="B80"/>
      <c r="C80"/>
      <c r="D80"/>
      <c r="E80"/>
      <c r="F80"/>
    </row>
    <row r="81" spans="2:6" x14ac:dyDescent="0.25">
      <c r="B81"/>
      <c r="C81"/>
      <c r="D81"/>
      <c r="E81"/>
      <c r="F81"/>
    </row>
    <row r="82" spans="2:6" x14ac:dyDescent="0.25">
      <c r="B82"/>
      <c r="C82"/>
      <c r="D82"/>
      <c r="E82"/>
      <c r="F82"/>
    </row>
    <row r="83" spans="2:6" x14ac:dyDescent="0.25">
      <c r="B83"/>
      <c r="C83"/>
      <c r="D83"/>
      <c r="E83"/>
      <c r="F83"/>
    </row>
    <row r="84" spans="2:6" x14ac:dyDescent="0.25">
      <c r="B84"/>
      <c r="C84"/>
      <c r="D84"/>
      <c r="E84"/>
      <c r="F84"/>
    </row>
    <row r="85" spans="2:6" x14ac:dyDescent="0.25">
      <c r="B85"/>
      <c r="C85"/>
      <c r="D85"/>
      <c r="E85"/>
      <c r="F85"/>
    </row>
    <row r="86" spans="2:6" x14ac:dyDescent="0.25">
      <c r="B86"/>
      <c r="C86"/>
      <c r="D86"/>
      <c r="E86"/>
      <c r="F86"/>
    </row>
    <row r="87" spans="2:6" x14ac:dyDescent="0.25">
      <c r="B87"/>
      <c r="C87"/>
      <c r="D87"/>
      <c r="E87"/>
      <c r="F87"/>
    </row>
    <row r="88" spans="2:6" x14ac:dyDescent="0.25">
      <c r="B88"/>
      <c r="C88"/>
      <c r="D88"/>
      <c r="E88"/>
      <c r="F88"/>
    </row>
    <row r="89" spans="2:6" x14ac:dyDescent="0.25">
      <c r="B89"/>
      <c r="C89"/>
      <c r="D89"/>
      <c r="E89"/>
      <c r="F89"/>
    </row>
    <row r="90" spans="2:6" x14ac:dyDescent="0.25">
      <c r="B90"/>
      <c r="C90"/>
      <c r="D90"/>
      <c r="E90"/>
      <c r="F90"/>
    </row>
    <row r="91" spans="2:6" x14ac:dyDescent="0.25">
      <c r="B91"/>
      <c r="C91"/>
      <c r="D91"/>
      <c r="E91"/>
      <c r="F91"/>
    </row>
    <row r="92" spans="2:6" x14ac:dyDescent="0.25">
      <c r="B92"/>
      <c r="C92"/>
      <c r="D92"/>
      <c r="E92"/>
      <c r="F92"/>
    </row>
    <row r="93" spans="2:6" x14ac:dyDescent="0.25">
      <c r="B93"/>
      <c r="C93"/>
      <c r="D93"/>
      <c r="E93"/>
      <c r="F93"/>
    </row>
    <row r="94" spans="2:6" x14ac:dyDescent="0.25">
      <c r="B94"/>
      <c r="C94"/>
      <c r="D94"/>
      <c r="E94"/>
      <c r="F94"/>
    </row>
    <row r="95" spans="2:6" x14ac:dyDescent="0.25">
      <c r="B95"/>
      <c r="C95"/>
      <c r="D95"/>
      <c r="E95"/>
      <c r="F95"/>
    </row>
    <row r="96" spans="2:6" x14ac:dyDescent="0.25">
      <c r="B96"/>
      <c r="C96"/>
      <c r="D96"/>
      <c r="E96"/>
      <c r="F96"/>
    </row>
    <row r="97" spans="2:6" x14ac:dyDescent="0.25">
      <c r="B97"/>
      <c r="C97"/>
      <c r="D97"/>
      <c r="E97"/>
      <c r="F97"/>
    </row>
    <row r="98" spans="2:6" x14ac:dyDescent="0.25">
      <c r="B98"/>
      <c r="C98"/>
      <c r="D98"/>
      <c r="E98"/>
      <c r="F98"/>
    </row>
    <row r="99" spans="2:6" x14ac:dyDescent="0.25">
      <c r="B99"/>
      <c r="C99"/>
      <c r="D99"/>
      <c r="E99"/>
      <c r="F99"/>
    </row>
    <row r="100" spans="2:6" x14ac:dyDescent="0.25">
      <c r="B100"/>
      <c r="C100"/>
      <c r="D100"/>
      <c r="E100"/>
      <c r="F100"/>
    </row>
    <row r="101" spans="2:6" x14ac:dyDescent="0.25">
      <c r="B101"/>
      <c r="C101"/>
      <c r="D101"/>
      <c r="E101"/>
      <c r="F101"/>
    </row>
    <row r="102" spans="2:6" x14ac:dyDescent="0.25">
      <c r="B102"/>
      <c r="C102"/>
      <c r="D102"/>
      <c r="E102"/>
      <c r="F102"/>
    </row>
    <row r="103" spans="2:6" x14ac:dyDescent="0.25">
      <c r="B103"/>
      <c r="C103"/>
      <c r="D103"/>
      <c r="E103"/>
      <c r="F103"/>
    </row>
    <row r="104" spans="2:6" x14ac:dyDescent="0.25">
      <c r="B104"/>
      <c r="C104"/>
      <c r="D104"/>
      <c r="E104"/>
      <c r="F104"/>
    </row>
    <row r="105" spans="2:6" x14ac:dyDescent="0.25">
      <c r="B105"/>
      <c r="C105"/>
      <c r="D105"/>
      <c r="E105"/>
      <c r="F105"/>
    </row>
    <row r="106" spans="2:6" x14ac:dyDescent="0.25">
      <c r="B106"/>
      <c r="C106"/>
      <c r="D106"/>
      <c r="E106"/>
      <c r="F106"/>
    </row>
    <row r="107" spans="2:6" x14ac:dyDescent="0.25">
      <c r="B107"/>
      <c r="C107"/>
      <c r="D107"/>
      <c r="E107"/>
      <c r="F107"/>
    </row>
    <row r="108" spans="2:6" x14ac:dyDescent="0.25">
      <c r="B108"/>
      <c r="C108"/>
      <c r="D108"/>
      <c r="E108"/>
      <c r="F108"/>
    </row>
    <row r="109" spans="2:6" x14ac:dyDescent="0.25">
      <c r="B109"/>
      <c r="C109"/>
      <c r="D109"/>
      <c r="E109"/>
      <c r="F109"/>
    </row>
    <row r="110" spans="2:6" x14ac:dyDescent="0.25">
      <c r="B110"/>
      <c r="C110"/>
      <c r="D110"/>
      <c r="E110"/>
      <c r="F110"/>
    </row>
    <row r="111" spans="2:6" x14ac:dyDescent="0.25">
      <c r="B111"/>
      <c r="C111"/>
      <c r="D111"/>
      <c r="E111"/>
      <c r="F111"/>
    </row>
    <row r="112" spans="2:6" x14ac:dyDescent="0.25">
      <c r="B112"/>
      <c r="C112"/>
      <c r="D112"/>
      <c r="E112"/>
      <c r="F112"/>
    </row>
    <row r="113" spans="2:6" x14ac:dyDescent="0.25">
      <c r="B113"/>
      <c r="C113"/>
      <c r="D113"/>
      <c r="E113"/>
      <c r="F113"/>
    </row>
    <row r="114" spans="2:6" x14ac:dyDescent="0.25">
      <c r="B114"/>
      <c r="C114"/>
      <c r="D114"/>
      <c r="E114"/>
      <c r="F114"/>
    </row>
    <row r="115" spans="2:6" x14ac:dyDescent="0.25">
      <c r="B115"/>
      <c r="C115"/>
      <c r="D115"/>
      <c r="E115"/>
      <c r="F115"/>
    </row>
    <row r="116" spans="2:6" x14ac:dyDescent="0.25">
      <c r="B116"/>
      <c r="C116"/>
      <c r="D116"/>
      <c r="E116"/>
      <c r="F116"/>
    </row>
    <row r="117" spans="2:6" x14ac:dyDescent="0.25">
      <c r="B117"/>
      <c r="C117"/>
      <c r="D117"/>
      <c r="E117"/>
      <c r="F117"/>
    </row>
    <row r="118" spans="2:6" x14ac:dyDescent="0.25">
      <c r="B118"/>
      <c r="C118"/>
      <c r="D118"/>
      <c r="E118"/>
      <c r="F118"/>
    </row>
    <row r="119" spans="2:6" x14ac:dyDescent="0.25">
      <c r="B119"/>
      <c r="C119"/>
      <c r="D119"/>
      <c r="E119"/>
      <c r="F119"/>
    </row>
    <row r="120" spans="2:6" x14ac:dyDescent="0.25">
      <c r="B120"/>
      <c r="C120"/>
      <c r="D120"/>
      <c r="E120"/>
      <c r="F120"/>
    </row>
    <row r="121" spans="2:6" x14ac:dyDescent="0.25">
      <c r="B121"/>
      <c r="C121"/>
      <c r="D121"/>
      <c r="E121"/>
      <c r="F121"/>
    </row>
    <row r="122" spans="2:6" x14ac:dyDescent="0.25">
      <c r="B122"/>
      <c r="C122"/>
      <c r="D122"/>
      <c r="E122"/>
      <c r="F122"/>
    </row>
    <row r="123" spans="2:6" x14ac:dyDescent="0.25">
      <c r="B123"/>
      <c r="C123"/>
      <c r="D123"/>
      <c r="E123"/>
      <c r="F123"/>
    </row>
    <row r="124" spans="2:6" x14ac:dyDescent="0.25">
      <c r="B124"/>
      <c r="C124"/>
      <c r="D124"/>
      <c r="E124"/>
      <c r="F124"/>
    </row>
    <row r="125" spans="2:6" x14ac:dyDescent="0.25">
      <c r="B125"/>
      <c r="C125"/>
      <c r="D125"/>
      <c r="E125"/>
      <c r="F125"/>
    </row>
    <row r="126" spans="2:6" x14ac:dyDescent="0.25">
      <c r="B126"/>
      <c r="C126"/>
      <c r="D126"/>
      <c r="E126"/>
      <c r="F126"/>
    </row>
    <row r="127" spans="2:6" x14ac:dyDescent="0.25">
      <c r="B127"/>
      <c r="C127"/>
      <c r="D127"/>
      <c r="E127"/>
      <c r="F127"/>
    </row>
    <row r="128" spans="2:6" x14ac:dyDescent="0.25">
      <c r="B128"/>
      <c r="C128"/>
      <c r="D128"/>
      <c r="E128"/>
      <c r="F128"/>
    </row>
    <row r="129" spans="2:6" x14ac:dyDescent="0.25">
      <c r="B129"/>
      <c r="C129"/>
      <c r="D129"/>
      <c r="E129"/>
      <c r="F129"/>
    </row>
    <row r="130" spans="2:6" x14ac:dyDescent="0.25">
      <c r="B130"/>
      <c r="C130"/>
      <c r="D130"/>
      <c r="E130"/>
      <c r="F130"/>
    </row>
    <row r="131" spans="2:6" x14ac:dyDescent="0.25">
      <c r="B131"/>
      <c r="C131"/>
      <c r="D131"/>
      <c r="E131"/>
      <c r="F131"/>
    </row>
    <row r="132" spans="2:6" x14ac:dyDescent="0.25">
      <c r="B132"/>
      <c r="C132"/>
      <c r="D132"/>
      <c r="E132"/>
      <c r="F132"/>
    </row>
    <row r="133" spans="2:6" x14ac:dyDescent="0.25">
      <c r="B133"/>
      <c r="C133"/>
      <c r="D133"/>
      <c r="E133"/>
      <c r="F133"/>
    </row>
    <row r="134" spans="2:6" x14ac:dyDescent="0.25">
      <c r="B134"/>
      <c r="C134"/>
      <c r="D134"/>
      <c r="E134"/>
      <c r="F134"/>
    </row>
    <row r="135" spans="2:6" x14ac:dyDescent="0.25">
      <c r="B135"/>
      <c r="C135"/>
      <c r="D135"/>
      <c r="E135"/>
      <c r="F135"/>
    </row>
    <row r="136" spans="2:6" x14ac:dyDescent="0.25">
      <c r="B136"/>
      <c r="C136"/>
      <c r="D136"/>
      <c r="E136"/>
      <c r="F136"/>
    </row>
    <row r="137" spans="2:6" x14ac:dyDescent="0.25">
      <c r="B137"/>
      <c r="C137"/>
      <c r="D137"/>
      <c r="E137"/>
      <c r="F137"/>
    </row>
    <row r="138" spans="2:6" x14ac:dyDescent="0.25">
      <c r="B138"/>
      <c r="C138"/>
      <c r="D138"/>
      <c r="E138"/>
      <c r="F138"/>
    </row>
    <row r="139" spans="2:6" x14ac:dyDescent="0.25">
      <c r="B139"/>
      <c r="C139"/>
      <c r="D139"/>
      <c r="E139"/>
      <c r="F139"/>
    </row>
    <row r="140" spans="2:6" x14ac:dyDescent="0.25">
      <c r="B140"/>
      <c r="C140"/>
      <c r="D140"/>
      <c r="E140"/>
      <c r="F140"/>
    </row>
    <row r="141" spans="2:6" x14ac:dyDescent="0.25">
      <c r="B141"/>
      <c r="C141"/>
      <c r="D141"/>
      <c r="E141"/>
      <c r="F141"/>
    </row>
    <row r="142" spans="2:6" x14ac:dyDescent="0.25">
      <c r="B142"/>
      <c r="C142"/>
      <c r="D142"/>
      <c r="E142"/>
      <c r="F142"/>
    </row>
    <row r="143" spans="2:6" x14ac:dyDescent="0.25">
      <c r="B143"/>
      <c r="C143"/>
      <c r="D143"/>
      <c r="E143"/>
      <c r="F143"/>
    </row>
    <row r="144" spans="2:6" x14ac:dyDescent="0.25">
      <c r="B144"/>
      <c r="C144"/>
      <c r="D144"/>
      <c r="E144"/>
      <c r="F144"/>
    </row>
    <row r="145" spans="2:6" x14ac:dyDescent="0.25">
      <c r="B145"/>
      <c r="C145"/>
      <c r="D145"/>
      <c r="E145"/>
      <c r="F145"/>
    </row>
    <row r="146" spans="2:6" x14ac:dyDescent="0.25">
      <c r="B146"/>
      <c r="C146"/>
      <c r="D146"/>
      <c r="E146"/>
      <c r="F146"/>
    </row>
    <row r="147" spans="2:6" x14ac:dyDescent="0.25">
      <c r="B147"/>
      <c r="C147"/>
      <c r="D147"/>
      <c r="E147"/>
      <c r="F147"/>
    </row>
    <row r="148" spans="2:6" x14ac:dyDescent="0.25">
      <c r="B148"/>
      <c r="C148"/>
      <c r="D148"/>
      <c r="E148"/>
      <c r="F148"/>
    </row>
    <row r="149" spans="2:6" x14ac:dyDescent="0.25">
      <c r="B149"/>
      <c r="C149"/>
      <c r="D149"/>
      <c r="E149"/>
      <c r="F149"/>
    </row>
    <row r="150" spans="2:6" x14ac:dyDescent="0.25">
      <c r="B150"/>
      <c r="C150"/>
      <c r="D150"/>
      <c r="E150"/>
      <c r="F150"/>
    </row>
    <row r="151" spans="2:6" x14ac:dyDescent="0.25">
      <c r="B151"/>
      <c r="C151"/>
      <c r="D151"/>
      <c r="E151"/>
      <c r="F151"/>
    </row>
    <row r="152" spans="2:6" x14ac:dyDescent="0.25">
      <c r="B152"/>
      <c r="C152"/>
      <c r="D152"/>
      <c r="E152"/>
      <c r="F152"/>
    </row>
    <row r="153" spans="2:6" x14ac:dyDescent="0.25">
      <c r="B153"/>
      <c r="C153"/>
      <c r="D153"/>
      <c r="E153"/>
      <c r="F153"/>
    </row>
    <row r="154" spans="2:6" x14ac:dyDescent="0.25">
      <c r="B154"/>
      <c r="C154"/>
      <c r="D154"/>
      <c r="E154"/>
      <c r="F154"/>
    </row>
    <row r="155" spans="2:6" x14ac:dyDescent="0.25">
      <c r="B155"/>
      <c r="C155"/>
      <c r="D155"/>
      <c r="E155"/>
      <c r="F155"/>
    </row>
    <row r="156" spans="2:6" x14ac:dyDescent="0.25">
      <c r="B156"/>
      <c r="C156"/>
      <c r="D156"/>
      <c r="E156"/>
      <c r="F156"/>
    </row>
    <row r="157" spans="2:6" x14ac:dyDescent="0.25">
      <c r="B157"/>
      <c r="C157"/>
      <c r="D157"/>
      <c r="E157"/>
      <c r="F157"/>
    </row>
    <row r="158" spans="2:6" x14ac:dyDescent="0.25">
      <c r="B158"/>
      <c r="C158"/>
      <c r="D158"/>
      <c r="E158"/>
      <c r="F158"/>
    </row>
    <row r="159" spans="2:6" x14ac:dyDescent="0.25">
      <c r="B159"/>
      <c r="C159"/>
      <c r="D159"/>
      <c r="E159"/>
      <c r="F159"/>
    </row>
    <row r="160" spans="2:6" x14ac:dyDescent="0.25">
      <c r="B160"/>
      <c r="C160"/>
      <c r="D160"/>
      <c r="E160"/>
      <c r="F160"/>
    </row>
    <row r="161" spans="2:6" x14ac:dyDescent="0.25">
      <c r="B161"/>
      <c r="C161"/>
      <c r="D161"/>
      <c r="E161"/>
      <c r="F161"/>
    </row>
    <row r="162" spans="2:6" x14ac:dyDescent="0.25">
      <c r="B162"/>
      <c r="C162"/>
      <c r="D162"/>
      <c r="E162"/>
      <c r="F162"/>
    </row>
    <row r="163" spans="2:6" x14ac:dyDescent="0.25">
      <c r="B163"/>
      <c r="C163"/>
      <c r="D163"/>
      <c r="E163"/>
      <c r="F163"/>
    </row>
    <row r="164" spans="2:6" x14ac:dyDescent="0.25">
      <c r="B164"/>
      <c r="C164"/>
      <c r="D164"/>
      <c r="E164"/>
      <c r="F164"/>
    </row>
    <row r="165" spans="2:6" x14ac:dyDescent="0.25">
      <c r="B165"/>
      <c r="C165"/>
      <c r="D165"/>
      <c r="E165"/>
      <c r="F165"/>
    </row>
    <row r="166" spans="2:6" x14ac:dyDescent="0.25">
      <c r="B166"/>
      <c r="C166"/>
      <c r="D166"/>
      <c r="E166"/>
      <c r="F166"/>
    </row>
    <row r="167" spans="2:6" x14ac:dyDescent="0.25">
      <c r="B167"/>
      <c r="C167"/>
      <c r="D167"/>
      <c r="E167"/>
      <c r="F167"/>
    </row>
    <row r="168" spans="2:6" x14ac:dyDescent="0.25">
      <c r="B168"/>
      <c r="C168"/>
      <c r="D168"/>
      <c r="E168"/>
      <c r="F168"/>
    </row>
    <row r="169" spans="2:6" x14ac:dyDescent="0.25">
      <c r="B169"/>
      <c r="C169"/>
      <c r="D169"/>
      <c r="E169"/>
      <c r="F169"/>
    </row>
    <row r="170" spans="2:6" x14ac:dyDescent="0.25">
      <c r="B170"/>
      <c r="C170"/>
      <c r="D170"/>
      <c r="E170"/>
      <c r="F170"/>
    </row>
    <row r="171" spans="2:6" x14ac:dyDescent="0.25">
      <c r="B171"/>
      <c r="C171"/>
      <c r="D171"/>
      <c r="E171"/>
      <c r="F171"/>
    </row>
    <row r="172" spans="2:6" x14ac:dyDescent="0.25">
      <c r="B172"/>
      <c r="C172"/>
      <c r="D172"/>
      <c r="E172"/>
      <c r="F172"/>
    </row>
    <row r="173" spans="2:6" x14ac:dyDescent="0.25">
      <c r="B173"/>
      <c r="C173"/>
      <c r="D173"/>
      <c r="E173"/>
      <c r="F173"/>
    </row>
    <row r="174" spans="2:6" x14ac:dyDescent="0.25">
      <c r="B174"/>
      <c r="C174"/>
      <c r="D174"/>
      <c r="E174"/>
      <c r="F174"/>
    </row>
    <row r="175" spans="2:6" x14ac:dyDescent="0.25">
      <c r="B175"/>
      <c r="C175"/>
      <c r="D175"/>
      <c r="E175"/>
      <c r="F175"/>
    </row>
    <row r="176" spans="2:6" x14ac:dyDescent="0.25">
      <c r="B176"/>
      <c r="C176"/>
      <c r="D176"/>
      <c r="E176"/>
      <c r="F176"/>
    </row>
    <row r="177" spans="2:6" x14ac:dyDescent="0.25">
      <c r="B177"/>
      <c r="C177"/>
      <c r="D177"/>
      <c r="E177"/>
      <c r="F177"/>
    </row>
    <row r="178" spans="2:6" x14ac:dyDescent="0.25">
      <c r="B178"/>
      <c r="C178"/>
      <c r="D178"/>
      <c r="E178"/>
      <c r="F178"/>
    </row>
    <row r="179" spans="2:6" x14ac:dyDescent="0.25">
      <c r="B179"/>
      <c r="C179"/>
      <c r="D179"/>
      <c r="E179"/>
      <c r="F179"/>
    </row>
    <row r="180" spans="2:6" x14ac:dyDescent="0.25">
      <c r="B180"/>
      <c r="C180"/>
      <c r="D180"/>
      <c r="E180"/>
      <c r="F180"/>
    </row>
    <row r="181" spans="2:6" x14ac:dyDescent="0.25">
      <c r="B181"/>
      <c r="C181"/>
      <c r="D181"/>
      <c r="E181"/>
      <c r="F181"/>
    </row>
    <row r="182" spans="2:6" x14ac:dyDescent="0.25">
      <c r="B182"/>
      <c r="C182"/>
      <c r="D182"/>
      <c r="E182"/>
      <c r="F182"/>
    </row>
    <row r="183" spans="2:6" x14ac:dyDescent="0.25">
      <c r="B183"/>
      <c r="C183"/>
      <c r="D183"/>
      <c r="E183"/>
      <c r="F183"/>
    </row>
    <row r="184" spans="2:6" x14ac:dyDescent="0.25">
      <c r="B184"/>
      <c r="C184"/>
      <c r="D184"/>
      <c r="E184"/>
      <c r="F184"/>
    </row>
    <row r="185" spans="2:6" x14ac:dyDescent="0.25">
      <c r="B185"/>
      <c r="C185"/>
      <c r="D185"/>
      <c r="E185"/>
      <c r="F185"/>
    </row>
    <row r="186" spans="2:6" x14ac:dyDescent="0.25">
      <c r="B186"/>
      <c r="C186"/>
      <c r="D186"/>
      <c r="E186"/>
      <c r="F186"/>
    </row>
    <row r="187" spans="2:6" x14ac:dyDescent="0.25">
      <c r="B187"/>
      <c r="C187"/>
      <c r="D187"/>
      <c r="E187"/>
      <c r="F187"/>
    </row>
    <row r="188" spans="2:6" x14ac:dyDescent="0.25">
      <c r="B188"/>
      <c r="C188"/>
      <c r="D188"/>
      <c r="E188"/>
      <c r="F188"/>
    </row>
    <row r="189" spans="2:6" x14ac:dyDescent="0.25">
      <c r="B189"/>
      <c r="C189"/>
      <c r="D189"/>
      <c r="E189"/>
      <c r="F189"/>
    </row>
    <row r="190" spans="2:6" x14ac:dyDescent="0.25">
      <c r="B190"/>
      <c r="C190"/>
      <c r="D190"/>
      <c r="E190"/>
      <c r="F190"/>
    </row>
    <row r="191" spans="2:6" x14ac:dyDescent="0.25">
      <c r="B191"/>
      <c r="C191"/>
      <c r="D191"/>
      <c r="E191"/>
      <c r="F191"/>
    </row>
    <row r="192" spans="2:6" x14ac:dyDescent="0.25">
      <c r="B192"/>
      <c r="C192"/>
      <c r="D192"/>
      <c r="E192"/>
      <c r="F192"/>
    </row>
    <row r="193" spans="2:6" x14ac:dyDescent="0.25">
      <c r="B193"/>
      <c r="C193"/>
      <c r="D193"/>
      <c r="E193"/>
      <c r="F193"/>
    </row>
    <row r="194" spans="2:6" x14ac:dyDescent="0.25">
      <c r="B194"/>
      <c r="C194"/>
      <c r="D194"/>
      <c r="E194"/>
      <c r="F194"/>
    </row>
    <row r="195" spans="2:6" x14ac:dyDescent="0.25">
      <c r="B195"/>
      <c r="C195"/>
      <c r="D195"/>
      <c r="E195"/>
      <c r="F195"/>
    </row>
    <row r="196" spans="2:6" x14ac:dyDescent="0.25">
      <c r="B196"/>
      <c r="C196"/>
      <c r="D196"/>
      <c r="E196"/>
      <c r="F196"/>
    </row>
    <row r="197" spans="2:6" x14ac:dyDescent="0.25">
      <c r="B197"/>
      <c r="C197"/>
      <c r="D197"/>
      <c r="E197"/>
      <c r="F197"/>
    </row>
    <row r="198" spans="2:6" x14ac:dyDescent="0.25">
      <c r="B198"/>
      <c r="C198"/>
      <c r="D198"/>
      <c r="E198"/>
      <c r="F198"/>
    </row>
    <row r="199" spans="2:6" x14ac:dyDescent="0.25">
      <c r="B199"/>
      <c r="C199"/>
      <c r="D199"/>
      <c r="E199"/>
      <c r="F199"/>
    </row>
    <row r="200" spans="2:6" x14ac:dyDescent="0.25">
      <c r="B200"/>
      <c r="C200"/>
      <c r="D200"/>
      <c r="E200"/>
      <c r="F200"/>
    </row>
    <row r="201" spans="2:6" x14ac:dyDescent="0.25">
      <c r="B201"/>
      <c r="C201"/>
      <c r="D201"/>
      <c r="E201"/>
      <c r="F201"/>
    </row>
    <row r="202" spans="2:6" x14ac:dyDescent="0.25">
      <c r="B202"/>
      <c r="C202"/>
      <c r="D202"/>
      <c r="E202"/>
      <c r="F202"/>
    </row>
    <row r="203" spans="2:6" x14ac:dyDescent="0.25">
      <c r="B203"/>
      <c r="C203"/>
      <c r="D203"/>
      <c r="E203"/>
      <c r="F203"/>
    </row>
    <row r="204" spans="2:6" x14ac:dyDescent="0.25">
      <c r="B204"/>
      <c r="C204"/>
      <c r="D204"/>
      <c r="E204"/>
      <c r="F204"/>
    </row>
    <row r="205" spans="2:6" x14ac:dyDescent="0.25">
      <c r="B205"/>
      <c r="C205"/>
      <c r="D205"/>
      <c r="E205"/>
      <c r="F205"/>
    </row>
    <row r="206" spans="2:6" x14ac:dyDescent="0.25">
      <c r="B206"/>
      <c r="C206"/>
      <c r="D206"/>
      <c r="E206"/>
      <c r="F206"/>
    </row>
    <row r="207" spans="2:6" x14ac:dyDescent="0.25">
      <c r="B207"/>
      <c r="C207"/>
      <c r="D207"/>
      <c r="E207"/>
      <c r="F207"/>
    </row>
    <row r="208" spans="2:6" x14ac:dyDescent="0.25">
      <c r="B208"/>
      <c r="C208"/>
      <c r="D208"/>
      <c r="E208"/>
      <c r="F208"/>
    </row>
    <row r="209" spans="2:6" x14ac:dyDescent="0.25">
      <c r="B209"/>
      <c r="C209"/>
      <c r="D209"/>
      <c r="E209"/>
      <c r="F209"/>
    </row>
    <row r="210" spans="2:6" x14ac:dyDescent="0.25">
      <c r="B210"/>
      <c r="C210"/>
      <c r="D210"/>
      <c r="E210"/>
      <c r="F210"/>
    </row>
    <row r="211" spans="2:6" x14ac:dyDescent="0.25">
      <c r="B211"/>
      <c r="C211"/>
      <c r="D211"/>
      <c r="E211"/>
      <c r="F211"/>
    </row>
    <row r="212" spans="2:6" x14ac:dyDescent="0.25">
      <c r="B212"/>
      <c r="C212"/>
      <c r="D212"/>
      <c r="E212"/>
      <c r="F212"/>
    </row>
    <row r="213" spans="2:6" x14ac:dyDescent="0.25">
      <c r="B213"/>
      <c r="C213"/>
      <c r="D213"/>
      <c r="E213"/>
      <c r="F213"/>
    </row>
    <row r="214" spans="2:6" x14ac:dyDescent="0.25">
      <c r="B214"/>
      <c r="C214"/>
      <c r="D214"/>
      <c r="E214"/>
      <c r="F214"/>
    </row>
    <row r="215" spans="2:6" x14ac:dyDescent="0.25">
      <c r="B215"/>
      <c r="C215"/>
      <c r="D215"/>
      <c r="E215"/>
      <c r="F215"/>
    </row>
    <row r="216" spans="2:6" x14ac:dyDescent="0.25">
      <c r="B216"/>
      <c r="C216"/>
      <c r="D216"/>
      <c r="E216"/>
      <c r="F216"/>
    </row>
    <row r="217" spans="2:6" x14ac:dyDescent="0.25">
      <c r="B217"/>
      <c r="C217"/>
      <c r="D217"/>
      <c r="E217"/>
      <c r="F217"/>
    </row>
    <row r="218" spans="2:6" x14ac:dyDescent="0.25">
      <c r="B218"/>
      <c r="C218"/>
      <c r="D218"/>
      <c r="E218"/>
      <c r="F218"/>
    </row>
    <row r="219" spans="2:6" x14ac:dyDescent="0.25">
      <c r="B219"/>
      <c r="C219"/>
      <c r="D219"/>
      <c r="E219"/>
      <c r="F219"/>
    </row>
    <row r="220" spans="2:6" x14ac:dyDescent="0.25">
      <c r="B220"/>
      <c r="C220"/>
      <c r="D220"/>
      <c r="E220"/>
      <c r="F220"/>
    </row>
    <row r="221" spans="2:6" x14ac:dyDescent="0.25">
      <c r="B221"/>
      <c r="C221"/>
      <c r="D221"/>
      <c r="E221"/>
      <c r="F221"/>
    </row>
    <row r="222" spans="2:6" x14ac:dyDescent="0.25">
      <c r="B222"/>
      <c r="C222"/>
      <c r="D222"/>
      <c r="E222"/>
      <c r="F222"/>
    </row>
    <row r="223" spans="2:6" x14ac:dyDescent="0.25">
      <c r="B223"/>
      <c r="C223"/>
      <c r="D223"/>
      <c r="E223"/>
      <c r="F223"/>
    </row>
    <row r="224" spans="2:6" x14ac:dyDescent="0.25">
      <c r="B224"/>
      <c r="C224"/>
      <c r="D224"/>
      <c r="E224"/>
      <c r="F224"/>
    </row>
    <row r="225" spans="2:6" x14ac:dyDescent="0.25">
      <c r="B225"/>
      <c r="C225"/>
      <c r="D225"/>
      <c r="E225"/>
      <c r="F225"/>
    </row>
    <row r="226" spans="2:6" x14ac:dyDescent="0.25">
      <c r="B226"/>
      <c r="C226"/>
      <c r="D226"/>
      <c r="E226"/>
      <c r="F226"/>
    </row>
    <row r="227" spans="2:6" x14ac:dyDescent="0.25">
      <c r="B227"/>
      <c r="C227"/>
      <c r="D227"/>
      <c r="E227"/>
      <c r="F227"/>
    </row>
    <row r="228" spans="2:6" x14ac:dyDescent="0.25">
      <c r="B228"/>
      <c r="C228"/>
      <c r="D228"/>
      <c r="E228"/>
      <c r="F228"/>
    </row>
    <row r="229" spans="2:6" x14ac:dyDescent="0.25">
      <c r="B229"/>
      <c r="C229"/>
      <c r="D229"/>
      <c r="E229"/>
      <c r="F229"/>
    </row>
    <row r="230" spans="2:6" x14ac:dyDescent="0.25">
      <c r="B230"/>
      <c r="C230"/>
      <c r="D230"/>
      <c r="E230"/>
      <c r="F230"/>
    </row>
    <row r="231" spans="2:6" x14ac:dyDescent="0.25">
      <c r="B231"/>
      <c r="C231"/>
      <c r="D231"/>
      <c r="E231"/>
      <c r="F231"/>
    </row>
    <row r="232" spans="2:6" x14ac:dyDescent="0.25">
      <c r="B232"/>
      <c r="C232"/>
      <c r="D232"/>
      <c r="E232"/>
      <c r="F232"/>
    </row>
    <row r="233" spans="2:6" x14ac:dyDescent="0.25">
      <c r="B233"/>
      <c r="C233"/>
      <c r="D233"/>
      <c r="E233"/>
      <c r="F233"/>
    </row>
    <row r="234" spans="2:6" x14ac:dyDescent="0.25">
      <c r="B234"/>
      <c r="C234"/>
      <c r="D234"/>
      <c r="E234"/>
      <c r="F234"/>
    </row>
    <row r="235" spans="2:6" x14ac:dyDescent="0.25">
      <c r="B235"/>
      <c r="C235"/>
      <c r="D235"/>
      <c r="E235"/>
      <c r="F235"/>
    </row>
    <row r="236" spans="2:6" x14ac:dyDescent="0.25">
      <c r="B236"/>
      <c r="C236"/>
      <c r="D236"/>
      <c r="E236"/>
      <c r="F236"/>
    </row>
    <row r="237" spans="2:6" x14ac:dyDescent="0.25">
      <c r="B237"/>
      <c r="C237"/>
      <c r="D237"/>
      <c r="E237"/>
      <c r="F237"/>
    </row>
    <row r="238" spans="2:6" x14ac:dyDescent="0.25">
      <c r="B238"/>
      <c r="C238"/>
      <c r="D238"/>
      <c r="E238"/>
      <c r="F238"/>
    </row>
    <row r="239" spans="2:6" x14ac:dyDescent="0.25">
      <c r="B239"/>
      <c r="C239"/>
      <c r="D239"/>
      <c r="E239"/>
      <c r="F239"/>
    </row>
    <row r="240" spans="2:6" x14ac:dyDescent="0.25">
      <c r="B240"/>
      <c r="C240"/>
      <c r="D240"/>
      <c r="E240"/>
      <c r="F240"/>
    </row>
    <row r="241" spans="2:6" x14ac:dyDescent="0.25">
      <c r="B241"/>
      <c r="C241"/>
      <c r="D241"/>
      <c r="E241"/>
      <c r="F241"/>
    </row>
    <row r="242" spans="2:6" x14ac:dyDescent="0.25">
      <c r="B242"/>
      <c r="C242"/>
      <c r="D242"/>
      <c r="E242"/>
      <c r="F242"/>
    </row>
    <row r="243" spans="2:6" x14ac:dyDescent="0.25">
      <c r="B243"/>
      <c r="C243"/>
      <c r="D243"/>
      <c r="E243"/>
      <c r="F243"/>
    </row>
    <row r="244" spans="2:6" x14ac:dyDescent="0.25">
      <c r="B244"/>
      <c r="C244"/>
      <c r="D244"/>
      <c r="E244"/>
      <c r="F244"/>
    </row>
    <row r="245" spans="2:6" x14ac:dyDescent="0.25">
      <c r="B245"/>
      <c r="C245"/>
      <c r="D245"/>
      <c r="E245"/>
      <c r="F245"/>
    </row>
    <row r="246" spans="2:6" x14ac:dyDescent="0.25">
      <c r="B246"/>
      <c r="C246"/>
      <c r="D246"/>
      <c r="E246"/>
      <c r="F246"/>
    </row>
    <row r="247" spans="2:6" x14ac:dyDescent="0.25">
      <c r="B247"/>
      <c r="C247"/>
      <c r="D247"/>
      <c r="E247"/>
      <c r="F247"/>
    </row>
    <row r="248" spans="2:6" x14ac:dyDescent="0.25">
      <c r="B248"/>
      <c r="C248"/>
      <c r="D248"/>
      <c r="E248"/>
      <c r="F248"/>
    </row>
    <row r="249" spans="2:6" x14ac:dyDescent="0.25">
      <c r="B249"/>
      <c r="C249"/>
      <c r="D249"/>
      <c r="E249"/>
      <c r="F249"/>
    </row>
    <row r="250" spans="2:6" x14ac:dyDescent="0.25">
      <c r="B250"/>
      <c r="C250"/>
      <c r="D250"/>
      <c r="E250"/>
      <c r="F250"/>
    </row>
    <row r="251" spans="2:6" x14ac:dyDescent="0.25">
      <c r="B251"/>
      <c r="C251"/>
      <c r="D251"/>
      <c r="E251"/>
      <c r="F251"/>
    </row>
    <row r="252" spans="2:6" x14ac:dyDescent="0.25">
      <c r="B252"/>
      <c r="C252"/>
      <c r="D252"/>
      <c r="E252"/>
      <c r="F252"/>
    </row>
    <row r="253" spans="2:6" x14ac:dyDescent="0.25">
      <c r="B253"/>
      <c r="C253"/>
      <c r="D253"/>
      <c r="E253"/>
      <c r="F253"/>
    </row>
    <row r="254" spans="2:6" x14ac:dyDescent="0.25">
      <c r="B254"/>
      <c r="C254"/>
      <c r="D254"/>
      <c r="E254"/>
      <c r="F254"/>
    </row>
    <row r="255" spans="2:6" x14ac:dyDescent="0.25">
      <c r="B255"/>
      <c r="C255"/>
      <c r="D255"/>
      <c r="E255"/>
      <c r="F255"/>
    </row>
    <row r="256" spans="2:6" x14ac:dyDescent="0.25">
      <c r="B256"/>
      <c r="C256"/>
      <c r="D256"/>
      <c r="E256"/>
      <c r="F256"/>
    </row>
    <row r="257" spans="2:6" x14ac:dyDescent="0.25">
      <c r="B257"/>
      <c r="C257"/>
      <c r="D257"/>
      <c r="E257"/>
      <c r="F257"/>
    </row>
    <row r="258" spans="2:6" x14ac:dyDescent="0.25">
      <c r="B258"/>
      <c r="C258"/>
      <c r="D258"/>
      <c r="E258"/>
      <c r="F258"/>
    </row>
    <row r="259" spans="2:6" x14ac:dyDescent="0.25">
      <c r="B259"/>
      <c r="C259"/>
      <c r="D259"/>
      <c r="E259"/>
      <c r="F259"/>
    </row>
    <row r="260" spans="2:6" x14ac:dyDescent="0.25">
      <c r="B260"/>
      <c r="C260"/>
      <c r="D260"/>
      <c r="E260"/>
      <c r="F260"/>
    </row>
    <row r="261" spans="2:6" x14ac:dyDescent="0.25">
      <c r="B261"/>
      <c r="C261"/>
      <c r="D261"/>
      <c r="E261"/>
      <c r="F261"/>
    </row>
    <row r="262" spans="2:6" x14ac:dyDescent="0.25">
      <c r="B262"/>
      <c r="C262"/>
      <c r="D262"/>
      <c r="E262"/>
      <c r="F262"/>
    </row>
    <row r="263" spans="2:6" x14ac:dyDescent="0.25">
      <c r="B263"/>
      <c r="C263"/>
      <c r="D263"/>
      <c r="E263"/>
      <c r="F263"/>
    </row>
    <row r="264" spans="2:6" x14ac:dyDescent="0.25">
      <c r="B264"/>
      <c r="C264"/>
      <c r="D264"/>
      <c r="E264"/>
      <c r="F264"/>
    </row>
    <row r="265" spans="2:6" x14ac:dyDescent="0.25">
      <c r="B265"/>
      <c r="C265"/>
      <c r="D265"/>
      <c r="E265"/>
      <c r="F265"/>
    </row>
    <row r="266" spans="2:6" x14ac:dyDescent="0.25">
      <c r="B266"/>
      <c r="C266"/>
      <c r="D266"/>
      <c r="E266"/>
      <c r="F266"/>
    </row>
    <row r="267" spans="2:6" x14ac:dyDescent="0.25">
      <c r="B267"/>
      <c r="C267"/>
      <c r="D267"/>
      <c r="E267"/>
      <c r="F267"/>
    </row>
    <row r="268" spans="2:6" x14ac:dyDescent="0.25">
      <c r="B268"/>
      <c r="C268"/>
      <c r="D268"/>
      <c r="E268"/>
      <c r="F268"/>
    </row>
    <row r="269" spans="2:6" x14ac:dyDescent="0.25">
      <c r="B269"/>
      <c r="C269"/>
      <c r="D269"/>
      <c r="E269"/>
      <c r="F269"/>
    </row>
    <row r="270" spans="2:6" x14ac:dyDescent="0.25">
      <c r="B270"/>
      <c r="C270"/>
      <c r="D270"/>
      <c r="E270"/>
      <c r="F270"/>
    </row>
    <row r="271" spans="2:6" x14ac:dyDescent="0.25">
      <c r="B271"/>
      <c r="C271"/>
      <c r="D271"/>
      <c r="E271"/>
      <c r="F271"/>
    </row>
    <row r="272" spans="2:6" x14ac:dyDescent="0.25">
      <c r="B272"/>
      <c r="C272"/>
      <c r="D272"/>
      <c r="E272"/>
      <c r="F272"/>
    </row>
    <row r="273" spans="2:6" x14ac:dyDescent="0.25">
      <c r="B273"/>
      <c r="C273"/>
      <c r="D273"/>
      <c r="E273"/>
      <c r="F273"/>
    </row>
    <row r="274" spans="2:6" x14ac:dyDescent="0.25">
      <c r="B274"/>
      <c r="C274"/>
      <c r="D274"/>
      <c r="E274"/>
      <c r="F274"/>
    </row>
    <row r="275" spans="2:6" x14ac:dyDescent="0.25">
      <c r="B275"/>
      <c r="C275"/>
      <c r="D275"/>
      <c r="E275"/>
      <c r="F275"/>
    </row>
    <row r="276" spans="2:6" x14ac:dyDescent="0.25">
      <c r="B276"/>
      <c r="C276"/>
      <c r="D276"/>
      <c r="E276"/>
      <c r="F276"/>
    </row>
    <row r="277" spans="2:6" x14ac:dyDescent="0.25">
      <c r="B277"/>
      <c r="C277"/>
      <c r="D277"/>
      <c r="E277"/>
      <c r="F277"/>
    </row>
    <row r="278" spans="2:6" x14ac:dyDescent="0.25">
      <c r="B278"/>
      <c r="C278"/>
      <c r="D278"/>
      <c r="E278"/>
      <c r="F278"/>
    </row>
    <row r="279" spans="2:6" x14ac:dyDescent="0.25">
      <c r="B279"/>
      <c r="C279"/>
      <c r="D279"/>
      <c r="E279"/>
      <c r="F279"/>
    </row>
    <row r="280" spans="2:6" x14ac:dyDescent="0.25">
      <c r="B280"/>
      <c r="C280"/>
      <c r="D280"/>
      <c r="E280"/>
      <c r="F280"/>
    </row>
    <row r="281" spans="2:6" x14ac:dyDescent="0.25">
      <c r="B281"/>
      <c r="C281"/>
      <c r="D281"/>
      <c r="E281"/>
      <c r="F281"/>
    </row>
    <row r="282" spans="2:6" x14ac:dyDescent="0.25">
      <c r="B282"/>
      <c r="C282"/>
      <c r="D282"/>
      <c r="E282"/>
      <c r="F282"/>
    </row>
    <row r="283" spans="2:6" x14ac:dyDescent="0.25">
      <c r="B283"/>
      <c r="C283"/>
      <c r="D283"/>
      <c r="E283"/>
      <c r="F283"/>
    </row>
    <row r="284" spans="2:6" x14ac:dyDescent="0.25">
      <c r="B284"/>
      <c r="C284"/>
      <c r="D284"/>
      <c r="E284"/>
      <c r="F284"/>
    </row>
    <row r="285" spans="2:6" x14ac:dyDescent="0.25">
      <c r="B285"/>
      <c r="C285"/>
      <c r="D285"/>
      <c r="E285"/>
      <c r="F285"/>
    </row>
    <row r="286" spans="2:6" x14ac:dyDescent="0.25">
      <c r="B286"/>
      <c r="C286"/>
      <c r="D286"/>
      <c r="E286"/>
      <c r="F286"/>
    </row>
    <row r="287" spans="2:6" x14ac:dyDescent="0.25">
      <c r="B287"/>
      <c r="C287"/>
      <c r="D287"/>
      <c r="E287"/>
      <c r="F287"/>
    </row>
    <row r="288" spans="2:6" x14ac:dyDescent="0.25">
      <c r="B288"/>
      <c r="C288"/>
      <c r="D288"/>
      <c r="E288"/>
      <c r="F288"/>
    </row>
    <row r="289" spans="2:6" x14ac:dyDescent="0.25">
      <c r="B289"/>
      <c r="C289"/>
      <c r="D289"/>
      <c r="E289"/>
      <c r="F289"/>
    </row>
    <row r="290" spans="2:6" x14ac:dyDescent="0.25">
      <c r="B290"/>
      <c r="C290"/>
      <c r="D290"/>
      <c r="E290"/>
      <c r="F290"/>
    </row>
    <row r="291" spans="2:6" x14ac:dyDescent="0.25">
      <c r="B291"/>
      <c r="C291"/>
      <c r="D291"/>
      <c r="E291"/>
      <c r="F291"/>
    </row>
    <row r="292" spans="2:6" x14ac:dyDescent="0.25">
      <c r="B292"/>
      <c r="C292"/>
      <c r="D292"/>
      <c r="E292"/>
      <c r="F292"/>
    </row>
    <row r="293" spans="2:6" x14ac:dyDescent="0.25">
      <c r="B293"/>
      <c r="C293"/>
      <c r="D293"/>
      <c r="E293"/>
      <c r="F293"/>
    </row>
    <row r="294" spans="2:6" x14ac:dyDescent="0.25">
      <c r="B294"/>
      <c r="C294"/>
      <c r="D294"/>
      <c r="E294"/>
      <c r="F294"/>
    </row>
    <row r="295" spans="2:6" x14ac:dyDescent="0.25">
      <c r="B295"/>
      <c r="C295"/>
      <c r="D295"/>
      <c r="E295"/>
      <c r="F295"/>
    </row>
    <row r="296" spans="2:6" x14ac:dyDescent="0.25">
      <c r="B296"/>
      <c r="C296"/>
      <c r="D296"/>
      <c r="E296"/>
      <c r="F296"/>
    </row>
    <row r="297" spans="2:6" x14ac:dyDescent="0.25">
      <c r="B297"/>
      <c r="C297"/>
      <c r="D297"/>
      <c r="E297"/>
      <c r="F297"/>
    </row>
    <row r="298" spans="2:6" x14ac:dyDescent="0.25">
      <c r="B298"/>
      <c r="C298"/>
      <c r="D298"/>
      <c r="E298"/>
      <c r="F298"/>
    </row>
    <row r="299" spans="2:6" x14ac:dyDescent="0.25">
      <c r="B299"/>
      <c r="C299"/>
      <c r="D299"/>
      <c r="E299"/>
      <c r="F299"/>
    </row>
    <row r="300" spans="2:6" x14ac:dyDescent="0.25">
      <c r="B300"/>
      <c r="C300"/>
      <c r="D300"/>
      <c r="E300"/>
      <c r="F300"/>
    </row>
    <row r="301" spans="2:6" x14ac:dyDescent="0.25">
      <c r="B301"/>
      <c r="C301"/>
      <c r="D301"/>
      <c r="E301"/>
      <c r="F301"/>
    </row>
    <row r="302" spans="2:6" x14ac:dyDescent="0.25">
      <c r="B302"/>
      <c r="C302"/>
      <c r="D302"/>
      <c r="E302"/>
      <c r="F302"/>
    </row>
    <row r="303" spans="2:6" x14ac:dyDescent="0.25">
      <c r="B303"/>
      <c r="C303"/>
      <c r="D303"/>
      <c r="E303"/>
      <c r="F303"/>
    </row>
    <row r="304" spans="2:6" x14ac:dyDescent="0.25">
      <c r="B304"/>
      <c r="C304"/>
      <c r="D304"/>
      <c r="E304"/>
      <c r="F304"/>
    </row>
    <row r="305" spans="2:6" x14ac:dyDescent="0.25">
      <c r="B305"/>
      <c r="C305"/>
      <c r="D305"/>
      <c r="E305"/>
      <c r="F305"/>
    </row>
    <row r="306" spans="2:6" x14ac:dyDescent="0.25">
      <c r="B306"/>
      <c r="C306"/>
      <c r="D306"/>
      <c r="E306"/>
      <c r="F306"/>
    </row>
    <row r="307" spans="2:6" x14ac:dyDescent="0.25">
      <c r="B307"/>
      <c r="C307"/>
      <c r="D307"/>
      <c r="E307"/>
      <c r="F307"/>
    </row>
    <row r="308" spans="2:6" x14ac:dyDescent="0.25">
      <c r="B308"/>
      <c r="C308"/>
      <c r="D308"/>
      <c r="E308"/>
      <c r="F308"/>
    </row>
    <row r="309" spans="2:6" x14ac:dyDescent="0.25">
      <c r="B309"/>
      <c r="C309"/>
      <c r="D309"/>
      <c r="E309"/>
      <c r="F309"/>
    </row>
    <row r="310" spans="2:6" x14ac:dyDescent="0.25">
      <c r="B310"/>
      <c r="C310"/>
      <c r="D310"/>
      <c r="E310"/>
      <c r="F310"/>
    </row>
    <row r="311" spans="2:6" x14ac:dyDescent="0.25">
      <c r="B311"/>
      <c r="C311"/>
      <c r="D311"/>
      <c r="E311"/>
      <c r="F311"/>
    </row>
    <row r="312" spans="2:6" x14ac:dyDescent="0.25">
      <c r="B312"/>
      <c r="C312"/>
      <c r="D312"/>
      <c r="E312"/>
      <c r="F312"/>
    </row>
    <row r="313" spans="2:6" x14ac:dyDescent="0.25">
      <c r="B313"/>
      <c r="C313"/>
      <c r="D313"/>
      <c r="E313"/>
      <c r="F313"/>
    </row>
    <row r="314" spans="2:6" x14ac:dyDescent="0.25">
      <c r="B314"/>
      <c r="C314"/>
      <c r="D314"/>
      <c r="E314"/>
      <c r="F314"/>
    </row>
    <row r="315" spans="2:6" x14ac:dyDescent="0.25">
      <c r="B315"/>
      <c r="C315"/>
      <c r="D315"/>
      <c r="E315"/>
      <c r="F315"/>
    </row>
    <row r="316" spans="2:6" x14ac:dyDescent="0.25">
      <c r="B316"/>
      <c r="C316"/>
      <c r="D316"/>
      <c r="E316"/>
      <c r="F316"/>
    </row>
    <row r="317" spans="2:6" x14ac:dyDescent="0.25">
      <c r="B317"/>
      <c r="C317"/>
      <c r="D317"/>
      <c r="E317"/>
      <c r="F317"/>
    </row>
    <row r="318" spans="2:6" x14ac:dyDescent="0.25">
      <c r="B318"/>
      <c r="C318"/>
      <c r="D318"/>
      <c r="E318"/>
      <c r="F318"/>
    </row>
    <row r="319" spans="2:6" x14ac:dyDescent="0.25">
      <c r="B319"/>
      <c r="C319"/>
      <c r="D319"/>
      <c r="E319"/>
      <c r="F319"/>
    </row>
    <row r="320" spans="2:6" x14ac:dyDescent="0.25">
      <c r="B320"/>
      <c r="C320"/>
      <c r="D320"/>
      <c r="E320"/>
      <c r="F320"/>
    </row>
    <row r="321" spans="2:6" x14ac:dyDescent="0.25">
      <c r="B321"/>
      <c r="C321"/>
      <c r="D321"/>
      <c r="E321"/>
      <c r="F321"/>
    </row>
    <row r="322" spans="2:6" x14ac:dyDescent="0.25">
      <c r="B322"/>
      <c r="C322"/>
      <c r="D322"/>
      <c r="E322"/>
      <c r="F322"/>
    </row>
    <row r="323" spans="2:6" x14ac:dyDescent="0.25">
      <c r="B323"/>
      <c r="C323"/>
      <c r="D323"/>
      <c r="E323"/>
      <c r="F323"/>
    </row>
    <row r="324" spans="2:6" x14ac:dyDescent="0.25">
      <c r="B324"/>
      <c r="C324"/>
      <c r="D324"/>
      <c r="E324"/>
      <c r="F324"/>
    </row>
    <row r="325" spans="2:6" x14ac:dyDescent="0.25">
      <c r="B325"/>
      <c r="C325"/>
      <c r="D325"/>
      <c r="E325"/>
      <c r="F325"/>
    </row>
    <row r="326" spans="2:6" x14ac:dyDescent="0.25">
      <c r="B326"/>
      <c r="C326"/>
      <c r="D326"/>
      <c r="E326"/>
      <c r="F326"/>
    </row>
    <row r="327" spans="2:6" x14ac:dyDescent="0.25">
      <c r="B327"/>
      <c r="C327"/>
      <c r="D327"/>
      <c r="E327"/>
      <c r="F327"/>
    </row>
    <row r="328" spans="2:6" x14ac:dyDescent="0.25">
      <c r="B328"/>
      <c r="C328"/>
      <c r="D328"/>
      <c r="E328"/>
      <c r="F328"/>
    </row>
    <row r="329" spans="2:6" x14ac:dyDescent="0.25">
      <c r="B329"/>
      <c r="C329"/>
      <c r="D329"/>
      <c r="E329"/>
      <c r="F329"/>
    </row>
    <row r="330" spans="2:6" x14ac:dyDescent="0.25">
      <c r="B330"/>
      <c r="C330"/>
      <c r="D330"/>
      <c r="E330"/>
      <c r="F330"/>
    </row>
    <row r="331" spans="2:6" x14ac:dyDescent="0.25">
      <c r="B331"/>
      <c r="C331"/>
      <c r="D331"/>
      <c r="E331"/>
      <c r="F331"/>
    </row>
    <row r="332" spans="2:6" x14ac:dyDescent="0.25">
      <c r="B332"/>
      <c r="C332"/>
      <c r="D332"/>
      <c r="E332"/>
      <c r="F332"/>
    </row>
    <row r="333" spans="2:6" x14ac:dyDescent="0.25">
      <c r="B333"/>
      <c r="C333"/>
      <c r="D333"/>
      <c r="E333"/>
      <c r="F333"/>
    </row>
    <row r="334" spans="2:6" x14ac:dyDescent="0.25">
      <c r="B334"/>
      <c r="C334"/>
      <c r="D334"/>
      <c r="E334"/>
      <c r="F334"/>
    </row>
    <row r="335" spans="2:6" x14ac:dyDescent="0.25">
      <c r="B335"/>
      <c r="C335"/>
      <c r="D335"/>
      <c r="E335"/>
      <c r="F335"/>
    </row>
    <row r="336" spans="2:6" x14ac:dyDescent="0.25">
      <c r="B336"/>
      <c r="C336"/>
      <c r="D336"/>
      <c r="E336"/>
      <c r="F336"/>
    </row>
    <row r="337" spans="2:6" x14ac:dyDescent="0.25">
      <c r="B337"/>
      <c r="C337"/>
      <c r="D337"/>
      <c r="E337"/>
      <c r="F337"/>
    </row>
    <row r="338" spans="2:6" x14ac:dyDescent="0.25">
      <c r="B338"/>
      <c r="C338"/>
      <c r="D338"/>
      <c r="E338"/>
      <c r="F338"/>
    </row>
    <row r="339" spans="2:6" x14ac:dyDescent="0.25">
      <c r="B339"/>
      <c r="C339"/>
      <c r="D339"/>
      <c r="E339"/>
      <c r="F339"/>
    </row>
    <row r="340" spans="2:6" x14ac:dyDescent="0.25">
      <c r="B340"/>
      <c r="C340"/>
      <c r="D340"/>
      <c r="E340"/>
      <c r="F340"/>
    </row>
    <row r="341" spans="2:6" x14ac:dyDescent="0.25">
      <c r="B341"/>
      <c r="C341"/>
      <c r="D341"/>
      <c r="E341"/>
      <c r="F341"/>
    </row>
    <row r="342" spans="2:6" x14ac:dyDescent="0.25">
      <c r="B342"/>
      <c r="C342"/>
      <c r="D342"/>
      <c r="E342"/>
      <c r="F342"/>
    </row>
    <row r="343" spans="2:6" x14ac:dyDescent="0.25">
      <c r="B343"/>
      <c r="C343"/>
      <c r="D343"/>
      <c r="E343"/>
      <c r="F343"/>
    </row>
    <row r="344" spans="2:6" x14ac:dyDescent="0.25">
      <c r="B344"/>
      <c r="C344"/>
      <c r="D344"/>
      <c r="E344"/>
      <c r="F344"/>
    </row>
    <row r="345" spans="2:6" x14ac:dyDescent="0.25">
      <c r="B345"/>
      <c r="C345"/>
      <c r="D345"/>
      <c r="E345"/>
      <c r="F345"/>
    </row>
    <row r="346" spans="2:6" x14ac:dyDescent="0.25">
      <c r="B346"/>
      <c r="C346"/>
      <c r="D346"/>
      <c r="E346"/>
      <c r="F346"/>
    </row>
    <row r="347" spans="2:6" x14ac:dyDescent="0.25">
      <c r="B347"/>
      <c r="C347"/>
      <c r="D347"/>
      <c r="E347"/>
      <c r="F347"/>
    </row>
    <row r="348" spans="2:6" x14ac:dyDescent="0.25">
      <c r="B348"/>
      <c r="C348"/>
      <c r="D348"/>
      <c r="E348"/>
      <c r="F348"/>
    </row>
    <row r="349" spans="2:6" x14ac:dyDescent="0.25">
      <c r="B349"/>
      <c r="C349"/>
      <c r="D349"/>
      <c r="E349"/>
      <c r="F349"/>
    </row>
    <row r="350" spans="2:6" x14ac:dyDescent="0.25">
      <c r="B350"/>
      <c r="C350"/>
      <c r="D350"/>
      <c r="E350"/>
      <c r="F350"/>
    </row>
    <row r="351" spans="2:6" x14ac:dyDescent="0.25">
      <c r="B351"/>
      <c r="C351"/>
      <c r="D351"/>
      <c r="E351"/>
      <c r="F351"/>
    </row>
    <row r="352" spans="2:6" x14ac:dyDescent="0.25">
      <c r="B352"/>
      <c r="C352"/>
      <c r="D352"/>
      <c r="E352"/>
      <c r="F352"/>
    </row>
    <row r="353" spans="2:6" x14ac:dyDescent="0.25">
      <c r="B353"/>
      <c r="C353"/>
      <c r="D353"/>
      <c r="E353"/>
      <c r="F353"/>
    </row>
    <row r="354" spans="2:6" x14ac:dyDescent="0.25">
      <c r="B354"/>
      <c r="C354"/>
      <c r="D354"/>
      <c r="E354"/>
      <c r="F354"/>
    </row>
    <row r="355" spans="2:6" x14ac:dyDescent="0.25">
      <c r="B355"/>
      <c r="C355"/>
      <c r="D355"/>
      <c r="E355"/>
      <c r="F355"/>
    </row>
    <row r="356" spans="2:6" x14ac:dyDescent="0.25">
      <c r="B356"/>
      <c r="C356"/>
      <c r="D356"/>
      <c r="E356"/>
      <c r="F356"/>
    </row>
    <row r="357" spans="2:6" x14ac:dyDescent="0.25">
      <c r="B357"/>
      <c r="C357"/>
      <c r="D357"/>
      <c r="E357"/>
      <c r="F357"/>
    </row>
    <row r="358" spans="2:6" x14ac:dyDescent="0.25">
      <c r="B358"/>
      <c r="C358"/>
      <c r="D358"/>
      <c r="E358"/>
      <c r="F358"/>
    </row>
    <row r="359" spans="2:6" x14ac:dyDescent="0.25">
      <c r="B359"/>
      <c r="C359"/>
      <c r="D359"/>
      <c r="E359"/>
      <c r="F359"/>
    </row>
    <row r="360" spans="2:6" x14ac:dyDescent="0.25">
      <c r="B360"/>
      <c r="C360"/>
      <c r="D360"/>
      <c r="E360"/>
      <c r="F360"/>
    </row>
    <row r="361" spans="2:6" x14ac:dyDescent="0.25">
      <c r="B361"/>
      <c r="C361"/>
      <c r="D361"/>
      <c r="E361"/>
      <c r="F361"/>
    </row>
    <row r="362" spans="2:6" x14ac:dyDescent="0.25">
      <c r="B362"/>
      <c r="C362"/>
      <c r="D362"/>
      <c r="E362"/>
      <c r="F362"/>
    </row>
    <row r="363" spans="2:6" x14ac:dyDescent="0.25">
      <c r="B363"/>
      <c r="C363"/>
      <c r="D363"/>
      <c r="E363"/>
      <c r="F363"/>
    </row>
    <row r="364" spans="2:6" x14ac:dyDescent="0.25">
      <c r="B364"/>
      <c r="C364"/>
      <c r="D364"/>
      <c r="E364"/>
      <c r="F364"/>
    </row>
    <row r="365" spans="2:6" x14ac:dyDescent="0.25">
      <c r="B365"/>
      <c r="C365"/>
      <c r="D365"/>
      <c r="E365"/>
      <c r="F365"/>
    </row>
    <row r="366" spans="2:6" x14ac:dyDescent="0.25">
      <c r="B366"/>
      <c r="C366"/>
      <c r="D366"/>
      <c r="E366"/>
      <c r="F366"/>
    </row>
    <row r="367" spans="2:6" x14ac:dyDescent="0.25">
      <c r="B367"/>
      <c r="C367"/>
      <c r="D367"/>
      <c r="E367"/>
      <c r="F367"/>
    </row>
    <row r="368" spans="2:6" x14ac:dyDescent="0.25">
      <c r="B368"/>
      <c r="C368"/>
      <c r="D368"/>
      <c r="E368"/>
      <c r="F368"/>
    </row>
    <row r="369" spans="2:6" x14ac:dyDescent="0.25">
      <c r="B369"/>
      <c r="C369"/>
      <c r="D369"/>
      <c r="E369"/>
      <c r="F369"/>
    </row>
    <row r="370" spans="2:6" x14ac:dyDescent="0.25">
      <c r="B370"/>
      <c r="C370"/>
      <c r="D370"/>
      <c r="E370"/>
      <c r="F370"/>
    </row>
    <row r="371" spans="2:6" x14ac:dyDescent="0.25">
      <c r="B371"/>
      <c r="C371"/>
      <c r="D371"/>
      <c r="E371"/>
      <c r="F371"/>
    </row>
    <row r="372" spans="2:6" x14ac:dyDescent="0.25">
      <c r="B372"/>
      <c r="C372"/>
      <c r="D372"/>
      <c r="E372"/>
      <c r="F372"/>
    </row>
    <row r="373" spans="2:6" x14ac:dyDescent="0.25">
      <c r="B373"/>
      <c r="C373"/>
      <c r="D373"/>
      <c r="E373"/>
      <c r="F373"/>
    </row>
    <row r="374" spans="2:6" x14ac:dyDescent="0.25">
      <c r="B374"/>
      <c r="C374"/>
      <c r="D374"/>
      <c r="E374"/>
      <c r="F374"/>
    </row>
    <row r="375" spans="2:6" x14ac:dyDescent="0.25">
      <c r="B375"/>
      <c r="C375"/>
      <c r="D375"/>
      <c r="E375"/>
      <c r="F375"/>
    </row>
    <row r="376" spans="2:6" x14ac:dyDescent="0.25">
      <c r="B376"/>
      <c r="C376"/>
      <c r="D376"/>
      <c r="E376"/>
      <c r="F376"/>
    </row>
    <row r="377" spans="2:6" x14ac:dyDescent="0.25">
      <c r="B377"/>
      <c r="C377"/>
      <c r="D377"/>
      <c r="E377"/>
      <c r="F377"/>
    </row>
    <row r="378" spans="2:6" x14ac:dyDescent="0.25">
      <c r="B378"/>
      <c r="C378"/>
      <c r="D378"/>
      <c r="E378"/>
      <c r="F378"/>
    </row>
    <row r="379" spans="2:6" x14ac:dyDescent="0.25">
      <c r="B379"/>
      <c r="C379"/>
      <c r="D379"/>
      <c r="E379"/>
      <c r="F379"/>
    </row>
    <row r="380" spans="2:6" x14ac:dyDescent="0.25">
      <c r="B380"/>
      <c r="C380"/>
      <c r="D380"/>
      <c r="E380"/>
      <c r="F380"/>
    </row>
    <row r="381" spans="2:6" x14ac:dyDescent="0.25">
      <c r="B381"/>
      <c r="C381"/>
      <c r="D381"/>
      <c r="E381"/>
      <c r="F381"/>
    </row>
    <row r="382" spans="2:6" x14ac:dyDescent="0.25">
      <c r="B382"/>
      <c r="C382"/>
      <c r="D382"/>
      <c r="E382"/>
      <c r="F382"/>
    </row>
    <row r="383" spans="2:6" x14ac:dyDescent="0.25">
      <c r="B383"/>
      <c r="C383"/>
      <c r="D383"/>
      <c r="E383"/>
      <c r="F383"/>
    </row>
    <row r="384" spans="2:6" x14ac:dyDescent="0.25">
      <c r="B384"/>
      <c r="C384"/>
      <c r="D384"/>
      <c r="E384"/>
      <c r="F384"/>
    </row>
    <row r="385" spans="2:6" x14ac:dyDescent="0.25">
      <c r="B385"/>
      <c r="C385"/>
      <c r="D385"/>
      <c r="E385"/>
      <c r="F385"/>
    </row>
    <row r="386" spans="2:6" x14ac:dyDescent="0.25">
      <c r="B386"/>
      <c r="C386"/>
      <c r="D386"/>
      <c r="E386"/>
      <c r="F386"/>
    </row>
    <row r="387" spans="2:6" x14ac:dyDescent="0.25">
      <c r="B387"/>
      <c r="C387"/>
      <c r="D387"/>
      <c r="E387"/>
      <c r="F387"/>
    </row>
  </sheetData>
  <sheetProtection algorithmName="SHA-512" hashValue="vaYqbxP36iG0Mp5285dBpw+OZeWi9OZDTO6hesApNnwAcFNHLBa9RhTHn5/3SYGC/sz/jGd1io6DfRqwXJC3HA==" saltValue="9c4cg9DIKWzTWZlZ7/i4aw==" spinCount="100000" sheet="1" objects="1" scenarios="1"/>
  <mergeCells count="4">
    <mergeCell ref="B19:K19"/>
    <mergeCell ref="B22:E22"/>
    <mergeCell ref="B20:K20"/>
    <mergeCell ref="B16:K16"/>
  </mergeCells>
  <hyperlinks>
    <hyperlink ref="F5" r:id="rId1" display="Scottish Fire and Rescue Service Fire Safety and Organisational Statistics, Scotland, 2015-16"/>
    <hyperlink ref="A5:G5" r:id="rId2" display="Scottish Fire and Rescue Service Fire Safety and Organisational Statistics, Scotland"/>
    <hyperlink ref="F22" r:id="rId3"/>
  </hyperlinks>
  <pageMargins left="0.7" right="0.7" top="0.75" bottom="0.75" header="0.3" footer="0.3"/>
  <pageSetup paperSize="9" scale="72"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4" tint="0.59999389629810485"/>
  </sheetPr>
  <dimension ref="A1:H6"/>
  <sheetViews>
    <sheetView showGridLines="0" workbookViewId="0">
      <pane ySplit="2" topLeftCell="A3" activePane="bottomLeft" state="frozen"/>
      <selection sqref="A1:C1"/>
      <selection pane="bottomLeft" sqref="A1:C1"/>
    </sheetView>
  </sheetViews>
  <sheetFormatPr defaultRowHeight="15" x14ac:dyDescent="0.25"/>
  <sheetData>
    <row r="1" spans="1:8" ht="15.75" x14ac:dyDescent="0.25">
      <c r="A1" s="993" t="s">
        <v>611</v>
      </c>
      <c r="B1" s="993"/>
      <c r="C1" s="993"/>
    </row>
    <row r="2" spans="1:8" ht="15.75" x14ac:dyDescent="0.25">
      <c r="A2" s="790" t="s">
        <v>598</v>
      </c>
      <c r="B2" s="792"/>
      <c r="C2" s="792"/>
    </row>
    <row r="4" spans="1:8" ht="15.75" x14ac:dyDescent="0.25">
      <c r="A4" s="998" t="s">
        <v>615</v>
      </c>
      <c r="B4" s="998"/>
      <c r="C4" s="998"/>
      <c r="D4" s="998"/>
      <c r="E4" s="998"/>
      <c r="F4" s="998"/>
      <c r="G4" s="998"/>
      <c r="H4" s="998"/>
    </row>
    <row r="5" spans="1:8" x14ac:dyDescent="0.25">
      <c r="A5" s="971" t="s">
        <v>826</v>
      </c>
    </row>
    <row r="6" spans="1:8" x14ac:dyDescent="0.25">
      <c r="A6" s="971" t="s">
        <v>744</v>
      </c>
    </row>
  </sheetData>
  <sheetProtection algorithmName="SHA-512" hashValue="Bc/mFLe0+3NmeibIJn3u9jzGPBtHL98d5kpKnSy84YC6XGf/79ovTxUShTlUjtfAUUST8bZcMYhilfkucoPZqg==" saltValue="PwGQ6TaG5DEsUc7zcNWgIQ==" spinCount="100000" sheet="1" scenarios="1"/>
  <mergeCells count="2">
    <mergeCell ref="A1:C1"/>
    <mergeCell ref="A4:H4"/>
  </mergeCells>
  <hyperlinks>
    <hyperlink ref="A2" location="'Table of Contents'!A1" display="Back to Table of Contents"/>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L316"/>
  <sheetViews>
    <sheetView zoomScale="85" zoomScaleNormal="85" workbookViewId="0">
      <pane ySplit="4" topLeftCell="A290" activePane="bottomLeft" state="frozen"/>
      <selection activeCell="A5" sqref="A5"/>
      <selection pane="bottomLeft" activeCell="E303" sqref="E303"/>
    </sheetView>
  </sheetViews>
  <sheetFormatPr defaultRowHeight="15" x14ac:dyDescent="0.25"/>
  <sheetData>
    <row r="1" spans="1:12" ht="15.75" x14ac:dyDescent="0.25">
      <c r="A1" s="982" t="s">
        <v>918</v>
      </c>
    </row>
    <row r="2" spans="1:12" x14ac:dyDescent="0.25">
      <c r="A2" s="1047">
        <v>43700</v>
      </c>
      <c r="B2" s="1048"/>
    </row>
    <row r="4" spans="1:12" x14ac:dyDescent="0.25">
      <c r="A4" s="980" t="s">
        <v>274</v>
      </c>
      <c r="B4" s="980" t="s">
        <v>894</v>
      </c>
      <c r="C4" s="980" t="s">
        <v>261</v>
      </c>
      <c r="D4" s="980" t="s">
        <v>916</v>
      </c>
      <c r="E4" s="980" t="s">
        <v>26</v>
      </c>
      <c r="F4" s="980" t="s">
        <v>18</v>
      </c>
      <c r="G4" s="980" t="s">
        <v>212</v>
      </c>
      <c r="H4" s="980" t="s">
        <v>22</v>
      </c>
      <c r="I4" s="980" t="s">
        <v>23</v>
      </c>
      <c r="J4" s="980" t="s">
        <v>19</v>
      </c>
      <c r="K4" s="980" t="s">
        <v>20</v>
      </c>
      <c r="L4" s="980" t="s">
        <v>21</v>
      </c>
    </row>
    <row r="5" spans="1:12" x14ac:dyDescent="0.25">
      <c r="A5" s="981" t="s">
        <v>207</v>
      </c>
      <c r="B5" s="981" t="s">
        <v>251</v>
      </c>
      <c r="C5" s="981" t="s">
        <v>287</v>
      </c>
      <c r="D5" s="981" t="s">
        <v>35</v>
      </c>
      <c r="E5" s="981">
        <v>43</v>
      </c>
      <c r="F5" s="981"/>
      <c r="G5" s="981"/>
      <c r="H5" s="981">
        <v>9</v>
      </c>
      <c r="I5" s="981">
        <v>30</v>
      </c>
      <c r="J5" s="981"/>
      <c r="K5" s="981">
        <v>0</v>
      </c>
      <c r="L5" s="981">
        <v>4</v>
      </c>
    </row>
    <row r="6" spans="1:12" x14ac:dyDescent="0.25">
      <c r="A6" s="981" t="s">
        <v>207</v>
      </c>
      <c r="B6" s="981" t="s">
        <v>251</v>
      </c>
      <c r="C6" s="981" t="s">
        <v>288</v>
      </c>
      <c r="D6" s="981" t="s">
        <v>36</v>
      </c>
      <c r="E6" s="981">
        <v>69</v>
      </c>
      <c r="F6" s="981"/>
      <c r="G6" s="981"/>
      <c r="H6" s="981">
        <v>11</v>
      </c>
      <c r="I6" s="981">
        <v>53</v>
      </c>
      <c r="J6" s="981"/>
      <c r="K6" s="981">
        <v>0</v>
      </c>
      <c r="L6" s="981">
        <v>5</v>
      </c>
    </row>
    <row r="7" spans="1:12" x14ac:dyDescent="0.25">
      <c r="A7" s="981" t="s">
        <v>207</v>
      </c>
      <c r="B7" s="981" t="s">
        <v>251</v>
      </c>
      <c r="C7" s="981" t="s">
        <v>289</v>
      </c>
      <c r="D7" s="981" t="s">
        <v>38</v>
      </c>
      <c r="E7" s="981">
        <v>59</v>
      </c>
      <c r="F7" s="981"/>
      <c r="G7" s="981"/>
      <c r="H7" s="981">
        <v>11</v>
      </c>
      <c r="I7" s="981">
        <v>40</v>
      </c>
      <c r="J7" s="981"/>
      <c r="K7" s="981">
        <v>0</v>
      </c>
      <c r="L7" s="981">
        <v>8</v>
      </c>
    </row>
    <row r="8" spans="1:12" x14ac:dyDescent="0.25">
      <c r="A8" s="981" t="s">
        <v>207</v>
      </c>
      <c r="B8" s="981" t="s">
        <v>251</v>
      </c>
      <c r="C8" s="981" t="s">
        <v>290</v>
      </c>
      <c r="D8" s="981" t="s">
        <v>40</v>
      </c>
      <c r="E8" s="981">
        <v>29</v>
      </c>
      <c r="F8" s="981"/>
      <c r="G8" s="981"/>
      <c r="H8" s="981">
        <v>5</v>
      </c>
      <c r="I8" s="981">
        <v>21</v>
      </c>
      <c r="J8" s="981"/>
      <c r="K8" s="981">
        <v>0</v>
      </c>
      <c r="L8" s="981">
        <v>3</v>
      </c>
    </row>
    <row r="9" spans="1:12" x14ac:dyDescent="0.25">
      <c r="A9" s="981" t="s">
        <v>207</v>
      </c>
      <c r="B9" s="981" t="s">
        <v>251</v>
      </c>
      <c r="C9" s="981" t="s">
        <v>291</v>
      </c>
      <c r="D9" s="981" t="s">
        <v>41</v>
      </c>
      <c r="E9" s="981">
        <v>59</v>
      </c>
      <c r="F9" s="981"/>
      <c r="G9" s="981"/>
      <c r="H9" s="981">
        <v>14</v>
      </c>
      <c r="I9" s="981">
        <v>34</v>
      </c>
      <c r="J9" s="981"/>
      <c r="K9" s="981">
        <v>0</v>
      </c>
      <c r="L9" s="981">
        <v>11</v>
      </c>
    </row>
    <row r="10" spans="1:12" x14ac:dyDescent="0.25">
      <c r="A10" s="981" t="s">
        <v>207</v>
      </c>
      <c r="B10" s="981" t="s">
        <v>251</v>
      </c>
      <c r="C10" s="981" t="s">
        <v>292</v>
      </c>
      <c r="D10" s="981" t="s">
        <v>48</v>
      </c>
      <c r="E10" s="981">
        <v>0</v>
      </c>
      <c r="F10" s="981"/>
      <c r="G10" s="981"/>
      <c r="H10" s="981">
        <v>0</v>
      </c>
      <c r="I10" s="981">
        <v>0</v>
      </c>
      <c r="J10" s="981"/>
      <c r="K10" s="981">
        <v>0</v>
      </c>
      <c r="L10" s="981">
        <v>0</v>
      </c>
    </row>
    <row r="11" spans="1:12" x14ac:dyDescent="0.25">
      <c r="A11" s="981" t="s">
        <v>207</v>
      </c>
      <c r="B11" s="981" t="s">
        <v>251</v>
      </c>
      <c r="C11" s="981" t="s">
        <v>293</v>
      </c>
      <c r="D11" s="981" t="s">
        <v>42</v>
      </c>
      <c r="E11" s="981">
        <v>96</v>
      </c>
      <c r="F11" s="981"/>
      <c r="G11" s="981"/>
      <c r="H11" s="981">
        <v>18</v>
      </c>
      <c r="I11" s="981">
        <v>65</v>
      </c>
      <c r="J11" s="981"/>
      <c r="K11" s="981">
        <v>1</v>
      </c>
      <c r="L11" s="981">
        <v>12</v>
      </c>
    </row>
    <row r="12" spans="1:12" x14ac:dyDescent="0.25">
      <c r="A12" s="981" t="s">
        <v>207</v>
      </c>
      <c r="B12" s="981" t="s">
        <v>251</v>
      </c>
      <c r="C12" s="981" t="s">
        <v>294</v>
      </c>
      <c r="D12" s="981" t="s">
        <v>44</v>
      </c>
      <c r="E12" s="981">
        <v>81</v>
      </c>
      <c r="F12" s="981"/>
      <c r="G12" s="981"/>
      <c r="H12" s="981">
        <v>9</v>
      </c>
      <c r="I12" s="981">
        <v>60</v>
      </c>
      <c r="J12" s="981"/>
      <c r="K12" s="981">
        <v>2</v>
      </c>
      <c r="L12" s="981">
        <v>10</v>
      </c>
    </row>
    <row r="13" spans="1:12" x14ac:dyDescent="0.25">
      <c r="A13" s="981" t="s">
        <v>207</v>
      </c>
      <c r="B13" s="981" t="s">
        <v>251</v>
      </c>
      <c r="C13" s="981" t="s">
        <v>295</v>
      </c>
      <c r="D13" s="981" t="s">
        <v>45</v>
      </c>
      <c r="E13" s="981">
        <v>78</v>
      </c>
      <c r="F13" s="981"/>
      <c r="G13" s="981"/>
      <c r="H13" s="981">
        <v>18</v>
      </c>
      <c r="I13" s="981">
        <v>49</v>
      </c>
      <c r="J13" s="981"/>
      <c r="K13" s="981">
        <v>0</v>
      </c>
      <c r="L13" s="981">
        <v>11</v>
      </c>
    </row>
    <row r="14" spans="1:12" x14ac:dyDescent="0.25">
      <c r="A14" s="981" t="s">
        <v>207</v>
      </c>
      <c r="B14" s="981" t="s">
        <v>251</v>
      </c>
      <c r="C14" s="981" t="s">
        <v>296</v>
      </c>
      <c r="D14" s="981" t="s">
        <v>46</v>
      </c>
      <c r="E14" s="981">
        <v>35</v>
      </c>
      <c r="F14" s="981"/>
      <c r="G14" s="981"/>
      <c r="H14" s="981">
        <v>4</v>
      </c>
      <c r="I14" s="981">
        <v>26</v>
      </c>
      <c r="J14" s="981"/>
      <c r="K14" s="981">
        <v>0</v>
      </c>
      <c r="L14" s="981">
        <v>5</v>
      </c>
    </row>
    <row r="15" spans="1:12" x14ac:dyDescent="0.25">
      <c r="A15" s="981" t="s">
        <v>207</v>
      </c>
      <c r="B15" s="981" t="s">
        <v>251</v>
      </c>
      <c r="C15" s="981" t="s">
        <v>297</v>
      </c>
      <c r="D15" s="981" t="s">
        <v>47</v>
      </c>
      <c r="E15" s="981">
        <v>20</v>
      </c>
      <c r="F15" s="981"/>
      <c r="G15" s="981"/>
      <c r="H15" s="981">
        <v>2</v>
      </c>
      <c r="I15" s="981">
        <v>15</v>
      </c>
      <c r="J15" s="981"/>
      <c r="K15" s="981">
        <v>0</v>
      </c>
      <c r="L15" s="981">
        <v>3</v>
      </c>
    </row>
    <row r="16" spans="1:12" x14ac:dyDescent="0.25">
      <c r="A16" s="981" t="s">
        <v>207</v>
      </c>
      <c r="B16" s="981" t="s">
        <v>251</v>
      </c>
      <c r="C16" s="981" t="s">
        <v>298</v>
      </c>
      <c r="D16" s="981" t="s">
        <v>49</v>
      </c>
      <c r="E16" s="981">
        <v>76</v>
      </c>
      <c r="F16" s="981"/>
      <c r="G16" s="981"/>
      <c r="H16" s="981">
        <v>13</v>
      </c>
      <c r="I16" s="981">
        <v>50</v>
      </c>
      <c r="J16" s="981"/>
      <c r="K16" s="981">
        <v>0</v>
      </c>
      <c r="L16" s="981">
        <v>13</v>
      </c>
    </row>
    <row r="17" spans="1:12" x14ac:dyDescent="0.25">
      <c r="A17" s="981" t="s">
        <v>207</v>
      </c>
      <c r="B17" s="981" t="s">
        <v>251</v>
      </c>
      <c r="C17" s="981" t="s">
        <v>299</v>
      </c>
      <c r="D17" s="981" t="s">
        <v>51</v>
      </c>
      <c r="E17" s="981">
        <v>0</v>
      </c>
      <c r="F17" s="981"/>
      <c r="G17" s="981"/>
      <c r="H17" s="981">
        <v>0</v>
      </c>
      <c r="I17" s="981">
        <v>0</v>
      </c>
      <c r="J17" s="981"/>
      <c r="K17" s="981">
        <v>0</v>
      </c>
      <c r="L17" s="981">
        <v>0</v>
      </c>
    </row>
    <row r="18" spans="1:12" x14ac:dyDescent="0.25">
      <c r="A18" s="981" t="s">
        <v>207</v>
      </c>
      <c r="B18" s="981" t="s">
        <v>251</v>
      </c>
      <c r="C18" s="981" t="s">
        <v>300</v>
      </c>
      <c r="D18" s="981" t="s">
        <v>52</v>
      </c>
      <c r="E18" s="981">
        <v>88</v>
      </c>
      <c r="F18" s="981"/>
      <c r="G18" s="981"/>
      <c r="H18" s="981">
        <v>14</v>
      </c>
      <c r="I18" s="981">
        <v>61</v>
      </c>
      <c r="J18" s="981"/>
      <c r="K18" s="981">
        <v>2</v>
      </c>
      <c r="L18" s="981">
        <v>11</v>
      </c>
    </row>
    <row r="19" spans="1:12" x14ac:dyDescent="0.25">
      <c r="A19" s="981" t="s">
        <v>207</v>
      </c>
      <c r="B19" s="981" t="s">
        <v>251</v>
      </c>
      <c r="C19" s="981" t="s">
        <v>301</v>
      </c>
      <c r="D19" s="981" t="s">
        <v>54</v>
      </c>
      <c r="E19" s="981">
        <v>75</v>
      </c>
      <c r="F19" s="981"/>
      <c r="G19" s="981"/>
      <c r="H19" s="981">
        <v>11</v>
      </c>
      <c r="I19" s="981">
        <v>54</v>
      </c>
      <c r="J19" s="981"/>
      <c r="K19" s="981">
        <v>0</v>
      </c>
      <c r="L19" s="981">
        <v>10</v>
      </c>
    </row>
    <row r="20" spans="1:12" x14ac:dyDescent="0.25">
      <c r="A20" s="981" t="s">
        <v>207</v>
      </c>
      <c r="B20" s="981" t="s">
        <v>251</v>
      </c>
      <c r="C20" s="981" t="s">
        <v>302</v>
      </c>
      <c r="D20" s="981" t="s">
        <v>55</v>
      </c>
      <c r="E20" s="981">
        <v>0</v>
      </c>
      <c r="F20" s="981"/>
      <c r="G20" s="981"/>
      <c r="H20" s="981">
        <v>0</v>
      </c>
      <c r="I20" s="981">
        <v>0</v>
      </c>
      <c r="J20" s="981"/>
      <c r="K20" s="981">
        <v>0</v>
      </c>
      <c r="L20" s="981">
        <v>0</v>
      </c>
    </row>
    <row r="21" spans="1:12" x14ac:dyDescent="0.25">
      <c r="A21" s="981" t="s">
        <v>207</v>
      </c>
      <c r="B21" s="981" t="s">
        <v>251</v>
      </c>
      <c r="C21" s="981" t="s">
        <v>303</v>
      </c>
      <c r="D21" s="981" t="s">
        <v>56</v>
      </c>
      <c r="E21" s="981">
        <v>65</v>
      </c>
      <c r="F21" s="981"/>
      <c r="G21" s="981"/>
      <c r="H21" s="981">
        <v>10</v>
      </c>
      <c r="I21" s="981">
        <v>47</v>
      </c>
      <c r="J21" s="981"/>
      <c r="K21" s="981">
        <v>0</v>
      </c>
      <c r="L21" s="981">
        <v>8</v>
      </c>
    </row>
    <row r="22" spans="1:12" x14ac:dyDescent="0.25">
      <c r="A22" s="981" t="s">
        <v>207</v>
      </c>
      <c r="B22" s="981" t="s">
        <v>251</v>
      </c>
      <c r="C22" s="981" t="s">
        <v>304</v>
      </c>
      <c r="D22" s="981" t="s">
        <v>57</v>
      </c>
      <c r="E22" s="981">
        <v>190</v>
      </c>
      <c r="F22" s="981"/>
      <c r="G22" s="981"/>
      <c r="H22" s="981">
        <v>33</v>
      </c>
      <c r="I22" s="981">
        <v>129</v>
      </c>
      <c r="J22" s="981"/>
      <c r="K22" s="981">
        <v>2</v>
      </c>
      <c r="L22" s="981">
        <v>26</v>
      </c>
    </row>
    <row r="23" spans="1:12" x14ac:dyDescent="0.25">
      <c r="A23" s="981" t="s">
        <v>207</v>
      </c>
      <c r="B23" s="981" t="s">
        <v>251</v>
      </c>
      <c r="C23" s="981" t="s">
        <v>305</v>
      </c>
      <c r="D23" s="981" t="s">
        <v>58</v>
      </c>
      <c r="E23" s="981">
        <v>62</v>
      </c>
      <c r="F23" s="981"/>
      <c r="G23" s="981"/>
      <c r="H23" s="981">
        <v>10</v>
      </c>
      <c r="I23" s="981">
        <v>42</v>
      </c>
      <c r="J23" s="981"/>
      <c r="K23" s="981">
        <v>0</v>
      </c>
      <c r="L23" s="981">
        <v>10</v>
      </c>
    </row>
    <row r="24" spans="1:12" x14ac:dyDescent="0.25">
      <c r="A24" s="981" t="s">
        <v>207</v>
      </c>
      <c r="B24" s="981" t="s">
        <v>251</v>
      </c>
      <c r="C24" s="981" t="s">
        <v>306</v>
      </c>
      <c r="D24" s="981" t="s">
        <v>31</v>
      </c>
      <c r="E24" s="981">
        <v>174</v>
      </c>
      <c r="F24" s="981"/>
      <c r="G24" s="981"/>
      <c r="H24" s="981">
        <v>24</v>
      </c>
      <c r="I24" s="981">
        <v>128</v>
      </c>
      <c r="J24" s="981"/>
      <c r="K24" s="981">
        <v>0</v>
      </c>
      <c r="L24" s="981">
        <v>22</v>
      </c>
    </row>
    <row r="25" spans="1:12" x14ac:dyDescent="0.25">
      <c r="A25" s="981" t="s">
        <v>207</v>
      </c>
      <c r="B25" s="981" t="s">
        <v>251</v>
      </c>
      <c r="C25" s="981" t="s">
        <v>307</v>
      </c>
      <c r="D25" s="981" t="s">
        <v>32</v>
      </c>
      <c r="E25" s="981">
        <v>23</v>
      </c>
      <c r="F25" s="981"/>
      <c r="G25" s="981"/>
      <c r="H25" s="981">
        <v>3</v>
      </c>
      <c r="I25" s="981">
        <v>16</v>
      </c>
      <c r="J25" s="981"/>
      <c r="K25" s="981">
        <v>0</v>
      </c>
      <c r="L25" s="981">
        <v>4</v>
      </c>
    </row>
    <row r="26" spans="1:12" x14ac:dyDescent="0.25">
      <c r="A26" s="981" t="s">
        <v>207</v>
      </c>
      <c r="B26" s="981" t="s">
        <v>251</v>
      </c>
      <c r="C26" s="981" t="s">
        <v>308</v>
      </c>
      <c r="D26" s="981" t="s">
        <v>34</v>
      </c>
      <c r="E26" s="981">
        <v>58</v>
      </c>
      <c r="F26" s="981"/>
      <c r="G26" s="981"/>
      <c r="H26" s="981">
        <v>10</v>
      </c>
      <c r="I26" s="981">
        <v>31</v>
      </c>
      <c r="J26" s="981"/>
      <c r="K26" s="981">
        <v>2</v>
      </c>
      <c r="L26" s="981">
        <v>15</v>
      </c>
    </row>
    <row r="27" spans="1:12" x14ac:dyDescent="0.25">
      <c r="A27" s="981" t="s">
        <v>207</v>
      </c>
      <c r="B27" s="981" t="s">
        <v>251</v>
      </c>
      <c r="C27" s="981" t="s">
        <v>309</v>
      </c>
      <c r="D27" s="981" t="s">
        <v>262</v>
      </c>
      <c r="E27" s="981">
        <v>370</v>
      </c>
      <c r="F27" s="981"/>
      <c r="G27" s="981"/>
      <c r="H27" s="981">
        <v>70</v>
      </c>
      <c r="I27" s="981">
        <v>275</v>
      </c>
      <c r="J27" s="981"/>
      <c r="K27" s="981">
        <v>0</v>
      </c>
      <c r="L27" s="981">
        <v>25</v>
      </c>
    </row>
    <row r="28" spans="1:12" x14ac:dyDescent="0.25">
      <c r="A28" s="981" t="s">
        <v>207</v>
      </c>
      <c r="B28" s="981" t="s">
        <v>251</v>
      </c>
      <c r="C28" s="981" t="s">
        <v>310</v>
      </c>
      <c r="D28" s="981" t="s">
        <v>53</v>
      </c>
      <c r="E28" s="981">
        <v>116</v>
      </c>
      <c r="F28" s="981"/>
      <c r="G28" s="981"/>
      <c r="H28" s="981">
        <v>22</v>
      </c>
      <c r="I28" s="981">
        <v>74</v>
      </c>
      <c r="J28" s="981"/>
      <c r="K28" s="981">
        <v>1</v>
      </c>
      <c r="L28" s="981">
        <v>19</v>
      </c>
    </row>
    <row r="29" spans="1:12" x14ac:dyDescent="0.25">
      <c r="A29" s="981" t="s">
        <v>207</v>
      </c>
      <c r="B29" s="981" t="s">
        <v>251</v>
      </c>
      <c r="C29" s="981" t="s">
        <v>311</v>
      </c>
      <c r="D29" s="981" t="s">
        <v>59</v>
      </c>
      <c r="E29" s="981">
        <v>80</v>
      </c>
      <c r="F29" s="981"/>
      <c r="G29" s="981"/>
      <c r="H29" s="981">
        <v>18</v>
      </c>
      <c r="I29" s="981">
        <v>52</v>
      </c>
      <c r="J29" s="981"/>
      <c r="K29" s="981">
        <v>0</v>
      </c>
      <c r="L29" s="981">
        <v>10</v>
      </c>
    </row>
    <row r="30" spans="1:12" x14ac:dyDescent="0.25">
      <c r="A30" s="981" t="s">
        <v>207</v>
      </c>
      <c r="B30" s="981" t="s">
        <v>251</v>
      </c>
      <c r="C30" s="981" t="s">
        <v>312</v>
      </c>
      <c r="D30" s="981" t="s">
        <v>60</v>
      </c>
      <c r="E30" s="981">
        <v>85</v>
      </c>
      <c r="F30" s="981"/>
      <c r="G30" s="981"/>
      <c r="H30" s="981">
        <v>14</v>
      </c>
      <c r="I30" s="981">
        <v>61</v>
      </c>
      <c r="J30" s="981"/>
      <c r="K30" s="981">
        <v>0</v>
      </c>
      <c r="L30" s="981">
        <v>10</v>
      </c>
    </row>
    <row r="31" spans="1:12" x14ac:dyDescent="0.25">
      <c r="A31" s="981" t="s">
        <v>207</v>
      </c>
      <c r="B31" s="981" t="s">
        <v>251</v>
      </c>
      <c r="C31" s="981" t="s">
        <v>313</v>
      </c>
      <c r="D31" s="981" t="s">
        <v>33</v>
      </c>
      <c r="E31" s="981">
        <v>35</v>
      </c>
      <c r="F31" s="981"/>
      <c r="G31" s="981"/>
      <c r="H31" s="981">
        <v>0</v>
      </c>
      <c r="I31" s="981">
        <v>25</v>
      </c>
      <c r="J31" s="981"/>
      <c r="K31" s="981">
        <v>1</v>
      </c>
      <c r="L31" s="981">
        <v>9</v>
      </c>
    </row>
    <row r="32" spans="1:12" x14ac:dyDescent="0.25">
      <c r="A32" s="981" t="s">
        <v>207</v>
      </c>
      <c r="B32" s="981" t="s">
        <v>251</v>
      </c>
      <c r="C32" s="981" t="s">
        <v>314</v>
      </c>
      <c r="D32" s="981" t="s">
        <v>37</v>
      </c>
      <c r="E32" s="981">
        <v>215</v>
      </c>
      <c r="F32" s="981"/>
      <c r="G32" s="981"/>
      <c r="H32" s="981">
        <v>29</v>
      </c>
      <c r="I32" s="981">
        <v>162</v>
      </c>
      <c r="J32" s="981"/>
      <c r="K32" s="981">
        <v>1</v>
      </c>
      <c r="L32" s="981">
        <v>23</v>
      </c>
    </row>
    <row r="33" spans="1:12" x14ac:dyDescent="0.25">
      <c r="A33" s="981" t="s">
        <v>207</v>
      </c>
      <c r="B33" s="981" t="s">
        <v>251</v>
      </c>
      <c r="C33" s="981" t="s">
        <v>315</v>
      </c>
      <c r="D33" s="981" t="s">
        <v>50</v>
      </c>
      <c r="E33" s="981">
        <v>188</v>
      </c>
      <c r="F33" s="981"/>
      <c r="G33" s="981"/>
      <c r="H33" s="981">
        <v>34</v>
      </c>
      <c r="I33" s="981">
        <v>129</v>
      </c>
      <c r="J33" s="981"/>
      <c r="K33" s="981">
        <v>1</v>
      </c>
      <c r="L33" s="981">
        <v>24</v>
      </c>
    </row>
    <row r="34" spans="1:12" x14ac:dyDescent="0.25">
      <c r="A34" s="981" t="s">
        <v>207</v>
      </c>
      <c r="B34" s="981" t="s">
        <v>251</v>
      </c>
      <c r="C34" s="981" t="s">
        <v>316</v>
      </c>
      <c r="D34" s="981" t="s">
        <v>39</v>
      </c>
      <c r="E34" s="981">
        <v>74</v>
      </c>
      <c r="F34" s="981"/>
      <c r="G34" s="981"/>
      <c r="H34" s="981">
        <v>15</v>
      </c>
      <c r="I34" s="981">
        <v>45</v>
      </c>
      <c r="J34" s="981"/>
      <c r="K34" s="981">
        <v>0</v>
      </c>
      <c r="L34" s="981">
        <v>14</v>
      </c>
    </row>
    <row r="35" spans="1:12" x14ac:dyDescent="0.25">
      <c r="A35" s="981" t="s">
        <v>207</v>
      </c>
      <c r="B35" s="981" t="s">
        <v>251</v>
      </c>
      <c r="C35" s="981" t="s">
        <v>317</v>
      </c>
      <c r="D35" s="981" t="s">
        <v>124</v>
      </c>
      <c r="E35" s="981">
        <v>560</v>
      </c>
      <c r="F35" s="981"/>
      <c r="G35" s="981"/>
      <c r="H35" s="981">
        <v>119</v>
      </c>
      <c r="I35" s="981">
        <v>373</v>
      </c>
      <c r="J35" s="981"/>
      <c r="K35" s="981">
        <v>0</v>
      </c>
      <c r="L35" s="981">
        <v>68</v>
      </c>
    </row>
    <row r="36" spans="1:12" x14ac:dyDescent="0.25">
      <c r="A36" s="981" t="s">
        <v>207</v>
      </c>
      <c r="B36" s="981" t="s">
        <v>251</v>
      </c>
      <c r="C36" s="981" t="s">
        <v>318</v>
      </c>
      <c r="D36" s="981" t="s">
        <v>43</v>
      </c>
      <c r="E36" s="981">
        <v>289</v>
      </c>
      <c r="F36" s="981"/>
      <c r="G36" s="981"/>
      <c r="H36" s="981">
        <v>58</v>
      </c>
      <c r="I36" s="981">
        <v>208</v>
      </c>
      <c r="J36" s="981"/>
      <c r="K36" s="981">
        <v>0</v>
      </c>
      <c r="L36" s="981">
        <v>23</v>
      </c>
    </row>
    <row r="37" spans="1:12" x14ac:dyDescent="0.25">
      <c r="A37" s="981" t="s">
        <v>207</v>
      </c>
      <c r="B37" s="981" t="s">
        <v>252</v>
      </c>
      <c r="C37" s="981" t="s">
        <v>374</v>
      </c>
      <c r="D37" s="981" t="s">
        <v>31</v>
      </c>
      <c r="E37" s="981">
        <v>23</v>
      </c>
      <c r="F37" s="981">
        <v>1</v>
      </c>
      <c r="G37" s="981"/>
      <c r="H37" s="981">
        <v>0</v>
      </c>
      <c r="I37" s="981">
        <v>1</v>
      </c>
      <c r="J37" s="981">
        <v>7</v>
      </c>
      <c r="K37" s="981">
        <v>6</v>
      </c>
      <c r="L37" s="981">
        <v>8</v>
      </c>
    </row>
    <row r="38" spans="1:12" x14ac:dyDescent="0.25">
      <c r="A38" s="981" t="s">
        <v>207</v>
      </c>
      <c r="B38" s="981" t="s">
        <v>252</v>
      </c>
      <c r="C38" s="981" t="s">
        <v>375</v>
      </c>
      <c r="D38" s="981" t="s">
        <v>64</v>
      </c>
      <c r="E38" s="981">
        <v>15</v>
      </c>
      <c r="F38" s="981">
        <v>1</v>
      </c>
      <c r="G38" s="981"/>
      <c r="H38" s="981">
        <v>0</v>
      </c>
      <c r="I38" s="981">
        <v>0</v>
      </c>
      <c r="J38" s="981">
        <v>2</v>
      </c>
      <c r="K38" s="981">
        <v>4</v>
      </c>
      <c r="L38" s="981">
        <v>8</v>
      </c>
    </row>
    <row r="39" spans="1:12" x14ac:dyDescent="0.25">
      <c r="A39" s="981" t="s">
        <v>207</v>
      </c>
      <c r="B39" s="981" t="s">
        <v>252</v>
      </c>
      <c r="C39" s="981" t="s">
        <v>377</v>
      </c>
      <c r="D39" s="981" t="s">
        <v>65</v>
      </c>
      <c r="E39" s="981">
        <v>22</v>
      </c>
      <c r="F39" s="981">
        <v>1</v>
      </c>
      <c r="G39" s="981"/>
      <c r="H39" s="981">
        <v>1</v>
      </c>
      <c r="I39" s="981">
        <v>1</v>
      </c>
      <c r="J39" s="981">
        <v>3</v>
      </c>
      <c r="K39" s="981">
        <v>6</v>
      </c>
      <c r="L39" s="981">
        <v>10</v>
      </c>
    </row>
    <row r="40" spans="1:12" x14ac:dyDescent="0.25">
      <c r="A40" s="981" t="s">
        <v>207</v>
      </c>
      <c r="B40" s="981" t="s">
        <v>252</v>
      </c>
      <c r="C40" s="981" t="s">
        <v>378</v>
      </c>
      <c r="D40" s="981" t="s">
        <v>36</v>
      </c>
      <c r="E40" s="981">
        <v>16</v>
      </c>
      <c r="F40" s="981">
        <v>0</v>
      </c>
      <c r="G40" s="981"/>
      <c r="H40" s="981">
        <v>0</v>
      </c>
      <c r="I40" s="981">
        <v>0</v>
      </c>
      <c r="J40" s="981">
        <v>2</v>
      </c>
      <c r="K40" s="981">
        <v>5</v>
      </c>
      <c r="L40" s="981">
        <v>9</v>
      </c>
    </row>
    <row r="41" spans="1:12" x14ac:dyDescent="0.25">
      <c r="A41" s="981" t="s">
        <v>207</v>
      </c>
      <c r="B41" s="981" t="s">
        <v>252</v>
      </c>
      <c r="C41" s="981" t="s">
        <v>379</v>
      </c>
      <c r="D41" s="981" t="s">
        <v>68</v>
      </c>
      <c r="E41" s="981">
        <v>21</v>
      </c>
      <c r="F41" s="981">
        <v>1</v>
      </c>
      <c r="G41" s="981"/>
      <c r="H41" s="981">
        <v>0</v>
      </c>
      <c r="I41" s="981">
        <v>5</v>
      </c>
      <c r="J41" s="981">
        <v>7</v>
      </c>
      <c r="K41" s="981">
        <v>0</v>
      </c>
      <c r="L41" s="981">
        <v>8</v>
      </c>
    </row>
    <row r="42" spans="1:12" x14ac:dyDescent="0.25">
      <c r="A42" s="981" t="s">
        <v>207</v>
      </c>
      <c r="B42" s="981" t="s">
        <v>252</v>
      </c>
      <c r="C42" s="981" t="s">
        <v>380</v>
      </c>
      <c r="D42" s="981" t="s">
        <v>69</v>
      </c>
      <c r="E42" s="981">
        <v>12</v>
      </c>
      <c r="F42" s="981">
        <v>1</v>
      </c>
      <c r="G42" s="981"/>
      <c r="H42" s="981">
        <v>0</v>
      </c>
      <c r="I42" s="981">
        <v>1</v>
      </c>
      <c r="J42" s="981">
        <v>3</v>
      </c>
      <c r="K42" s="981">
        <v>5</v>
      </c>
      <c r="L42" s="981">
        <v>2</v>
      </c>
    </row>
    <row r="43" spans="1:12" x14ac:dyDescent="0.25">
      <c r="A43" s="981" t="s">
        <v>207</v>
      </c>
      <c r="B43" s="981" t="s">
        <v>252</v>
      </c>
      <c r="C43" s="981" t="s">
        <v>381</v>
      </c>
      <c r="D43" s="981" t="s">
        <v>70</v>
      </c>
      <c r="E43" s="981">
        <v>23</v>
      </c>
      <c r="F43" s="981">
        <v>1</v>
      </c>
      <c r="G43" s="981"/>
      <c r="H43" s="981">
        <v>0</v>
      </c>
      <c r="I43" s="981">
        <v>0</v>
      </c>
      <c r="J43" s="981">
        <v>9</v>
      </c>
      <c r="K43" s="981">
        <v>7</v>
      </c>
      <c r="L43" s="981">
        <v>6</v>
      </c>
    </row>
    <row r="44" spans="1:12" x14ac:dyDescent="0.25">
      <c r="A44" s="981" t="s">
        <v>207</v>
      </c>
      <c r="B44" s="981" t="s">
        <v>252</v>
      </c>
      <c r="C44" s="981" t="s">
        <v>382</v>
      </c>
      <c r="D44" s="981" t="s">
        <v>178</v>
      </c>
      <c r="E44" s="981">
        <v>26</v>
      </c>
      <c r="F44" s="981">
        <v>2</v>
      </c>
      <c r="G44" s="981"/>
      <c r="H44" s="981">
        <v>3</v>
      </c>
      <c r="I44" s="981">
        <v>2</v>
      </c>
      <c r="J44" s="981">
        <v>9</v>
      </c>
      <c r="K44" s="981">
        <v>3</v>
      </c>
      <c r="L44" s="981">
        <v>7</v>
      </c>
    </row>
    <row r="45" spans="1:12" x14ac:dyDescent="0.25">
      <c r="A45" s="981" t="s">
        <v>207</v>
      </c>
      <c r="B45" s="981" t="s">
        <v>252</v>
      </c>
      <c r="C45" s="981" t="s">
        <v>383</v>
      </c>
      <c r="D45" s="981" t="s">
        <v>71</v>
      </c>
      <c r="E45" s="981">
        <v>13</v>
      </c>
      <c r="F45" s="981">
        <v>1</v>
      </c>
      <c r="G45" s="981"/>
      <c r="H45" s="981">
        <v>0</v>
      </c>
      <c r="I45" s="981">
        <v>2</v>
      </c>
      <c r="J45" s="981">
        <v>2</v>
      </c>
      <c r="K45" s="981">
        <v>2</v>
      </c>
      <c r="L45" s="981">
        <v>6</v>
      </c>
    </row>
    <row r="46" spans="1:12" x14ac:dyDescent="0.25">
      <c r="A46" s="981" t="s">
        <v>207</v>
      </c>
      <c r="B46" s="981" t="s">
        <v>252</v>
      </c>
      <c r="C46" s="981" t="s">
        <v>385</v>
      </c>
      <c r="D46" s="981" t="s">
        <v>124</v>
      </c>
      <c r="E46" s="981">
        <v>28</v>
      </c>
      <c r="F46" s="981">
        <v>1</v>
      </c>
      <c r="G46" s="981"/>
      <c r="H46" s="981">
        <v>0</v>
      </c>
      <c r="I46" s="981">
        <v>3</v>
      </c>
      <c r="J46" s="981">
        <v>4</v>
      </c>
      <c r="K46" s="981">
        <v>10</v>
      </c>
      <c r="L46" s="981">
        <v>10</v>
      </c>
    </row>
    <row r="47" spans="1:12" x14ac:dyDescent="0.25">
      <c r="A47" s="981" t="s">
        <v>207</v>
      </c>
      <c r="B47" s="981" t="s">
        <v>252</v>
      </c>
      <c r="C47" s="981" t="s">
        <v>386</v>
      </c>
      <c r="D47" s="981" t="s">
        <v>72</v>
      </c>
      <c r="E47" s="981">
        <v>13</v>
      </c>
      <c r="F47" s="981">
        <v>1</v>
      </c>
      <c r="G47" s="981"/>
      <c r="H47" s="981">
        <v>0</v>
      </c>
      <c r="I47" s="981">
        <v>0</v>
      </c>
      <c r="J47" s="981">
        <v>4</v>
      </c>
      <c r="K47" s="981">
        <v>7</v>
      </c>
      <c r="L47" s="981">
        <v>1</v>
      </c>
    </row>
    <row r="48" spans="1:12" x14ac:dyDescent="0.25">
      <c r="A48" s="981" t="s">
        <v>207</v>
      </c>
      <c r="B48" s="981" t="s">
        <v>252</v>
      </c>
      <c r="C48" s="981" t="s">
        <v>387</v>
      </c>
      <c r="D48" s="981" t="s">
        <v>50</v>
      </c>
      <c r="E48" s="981">
        <v>14</v>
      </c>
      <c r="F48" s="981">
        <v>1</v>
      </c>
      <c r="G48" s="981"/>
      <c r="H48" s="981">
        <v>1</v>
      </c>
      <c r="I48" s="981">
        <v>0</v>
      </c>
      <c r="J48" s="981">
        <v>2</v>
      </c>
      <c r="K48" s="981">
        <v>6</v>
      </c>
      <c r="L48" s="981">
        <v>4</v>
      </c>
    </row>
    <row r="49" spans="1:12" x14ac:dyDescent="0.25">
      <c r="A49" s="981" t="s">
        <v>207</v>
      </c>
      <c r="B49" s="981" t="s">
        <v>252</v>
      </c>
      <c r="C49" s="981" t="s">
        <v>388</v>
      </c>
      <c r="D49" s="981" t="s">
        <v>57</v>
      </c>
      <c r="E49" s="981">
        <v>10</v>
      </c>
      <c r="F49" s="981">
        <v>1</v>
      </c>
      <c r="G49" s="981"/>
      <c r="H49" s="981">
        <v>0</v>
      </c>
      <c r="I49" s="981">
        <v>0</v>
      </c>
      <c r="J49" s="981">
        <v>3</v>
      </c>
      <c r="K49" s="981">
        <v>4</v>
      </c>
      <c r="L49" s="981">
        <v>2</v>
      </c>
    </row>
    <row r="50" spans="1:12" x14ac:dyDescent="0.25">
      <c r="A50" s="981" t="s">
        <v>207</v>
      </c>
      <c r="B50" s="981" t="s">
        <v>252</v>
      </c>
      <c r="C50" s="981" t="s">
        <v>389</v>
      </c>
      <c r="D50" s="981" t="s">
        <v>73</v>
      </c>
      <c r="E50" s="981">
        <v>8</v>
      </c>
      <c r="F50" s="981">
        <v>1</v>
      </c>
      <c r="G50" s="981"/>
      <c r="H50" s="981">
        <v>0</v>
      </c>
      <c r="I50" s="981">
        <v>0</v>
      </c>
      <c r="J50" s="981">
        <v>3</v>
      </c>
      <c r="K50" s="981">
        <v>4</v>
      </c>
      <c r="L50" s="981">
        <v>0</v>
      </c>
    </row>
    <row r="51" spans="1:12" x14ac:dyDescent="0.25">
      <c r="A51" s="981" t="s">
        <v>207</v>
      </c>
      <c r="B51" s="981" t="s">
        <v>252</v>
      </c>
      <c r="C51" s="981" t="s">
        <v>390</v>
      </c>
      <c r="D51" s="981" t="s">
        <v>74</v>
      </c>
      <c r="E51" s="981">
        <v>9</v>
      </c>
      <c r="F51" s="981">
        <v>1</v>
      </c>
      <c r="G51" s="981"/>
      <c r="H51" s="981">
        <v>0</v>
      </c>
      <c r="I51" s="981">
        <v>0</v>
      </c>
      <c r="J51" s="981">
        <v>3</v>
      </c>
      <c r="K51" s="981">
        <v>5</v>
      </c>
      <c r="L51" s="981">
        <v>0</v>
      </c>
    </row>
    <row r="52" spans="1:12" x14ac:dyDescent="0.25">
      <c r="A52" s="981" t="s">
        <v>207</v>
      </c>
      <c r="B52" s="981" t="s">
        <v>252</v>
      </c>
      <c r="C52" s="981" t="s">
        <v>376</v>
      </c>
      <c r="D52" s="981" t="s">
        <v>67</v>
      </c>
      <c r="E52" s="981">
        <v>11</v>
      </c>
      <c r="F52" s="981">
        <v>1</v>
      </c>
      <c r="G52" s="981"/>
      <c r="H52" s="981">
        <v>0</v>
      </c>
      <c r="I52" s="981">
        <v>0</v>
      </c>
      <c r="J52" s="981">
        <v>3</v>
      </c>
      <c r="K52" s="981">
        <v>5</v>
      </c>
      <c r="L52" s="981">
        <v>2</v>
      </c>
    </row>
    <row r="53" spans="1:12" x14ac:dyDescent="0.25">
      <c r="A53" s="981" t="s">
        <v>207</v>
      </c>
      <c r="B53" s="981" t="s">
        <v>252</v>
      </c>
      <c r="C53" s="981" t="s">
        <v>384</v>
      </c>
      <c r="D53" s="981" t="s">
        <v>43</v>
      </c>
      <c r="E53" s="981">
        <v>21</v>
      </c>
      <c r="F53" s="981">
        <v>1</v>
      </c>
      <c r="G53" s="981"/>
      <c r="H53" s="981">
        <v>0</v>
      </c>
      <c r="I53" s="981">
        <v>0</v>
      </c>
      <c r="J53" s="981">
        <v>3</v>
      </c>
      <c r="K53" s="981">
        <v>6</v>
      </c>
      <c r="L53" s="981">
        <v>11</v>
      </c>
    </row>
    <row r="54" spans="1:12" x14ac:dyDescent="0.25">
      <c r="A54" s="981" t="s">
        <v>207</v>
      </c>
      <c r="B54" s="981" t="s">
        <v>253</v>
      </c>
      <c r="C54" s="981" t="s">
        <v>412</v>
      </c>
      <c r="D54" s="981" t="s">
        <v>176</v>
      </c>
      <c r="E54" s="981">
        <v>111</v>
      </c>
      <c r="F54" s="981">
        <v>3</v>
      </c>
      <c r="G54" s="981">
        <v>1</v>
      </c>
      <c r="H54" s="981">
        <v>8</v>
      </c>
      <c r="I54" s="981">
        <v>0</v>
      </c>
      <c r="J54" s="981">
        <v>12</v>
      </c>
      <c r="K54" s="981">
        <v>8</v>
      </c>
      <c r="L54" s="981">
        <v>79</v>
      </c>
    </row>
    <row r="55" spans="1:12" x14ac:dyDescent="0.25">
      <c r="A55" s="981" t="s">
        <v>207</v>
      </c>
      <c r="B55" s="981" t="s">
        <v>253</v>
      </c>
      <c r="C55" s="981" t="s">
        <v>411</v>
      </c>
      <c r="D55" s="981" t="s">
        <v>177</v>
      </c>
      <c r="E55" s="981">
        <v>80</v>
      </c>
      <c r="F55" s="981">
        <v>1</v>
      </c>
      <c r="G55" s="981">
        <v>1</v>
      </c>
      <c r="H55" s="981">
        <v>8</v>
      </c>
      <c r="I55" s="981">
        <v>3</v>
      </c>
      <c r="J55" s="981">
        <v>3</v>
      </c>
      <c r="K55" s="981">
        <v>15</v>
      </c>
      <c r="L55" s="981">
        <v>49</v>
      </c>
    </row>
    <row r="56" spans="1:12" x14ac:dyDescent="0.25">
      <c r="A56" s="981" t="s">
        <v>207</v>
      </c>
      <c r="B56" s="981" t="s">
        <v>253</v>
      </c>
      <c r="C56" s="981" t="s">
        <v>413</v>
      </c>
      <c r="D56" s="981" t="s">
        <v>175</v>
      </c>
      <c r="E56" s="981">
        <v>77</v>
      </c>
      <c r="F56" s="981">
        <v>2</v>
      </c>
      <c r="G56" s="981">
        <v>1</v>
      </c>
      <c r="H56" s="981">
        <v>24</v>
      </c>
      <c r="I56" s="981">
        <v>1</v>
      </c>
      <c r="J56" s="981">
        <v>9</v>
      </c>
      <c r="K56" s="981">
        <v>10</v>
      </c>
      <c r="L56" s="981">
        <v>30</v>
      </c>
    </row>
    <row r="57" spans="1:12" x14ac:dyDescent="0.25">
      <c r="A57" s="981" t="s">
        <v>207</v>
      </c>
      <c r="B57" s="981" t="s">
        <v>254</v>
      </c>
      <c r="C57" s="981" t="s">
        <v>391</v>
      </c>
      <c r="D57" s="981" t="s">
        <v>263</v>
      </c>
      <c r="E57" s="981">
        <v>56</v>
      </c>
      <c r="F57" s="981">
        <v>5</v>
      </c>
      <c r="G57" s="981">
        <v>6</v>
      </c>
      <c r="H57" s="981">
        <v>7</v>
      </c>
      <c r="I57" s="981">
        <v>0</v>
      </c>
      <c r="J57" s="981">
        <v>22</v>
      </c>
      <c r="K57" s="981">
        <v>5</v>
      </c>
      <c r="L57" s="981">
        <v>11</v>
      </c>
    </row>
    <row r="58" spans="1:12" x14ac:dyDescent="0.25">
      <c r="A58" s="981" t="s">
        <v>206</v>
      </c>
      <c r="B58" s="981" t="s">
        <v>251</v>
      </c>
      <c r="C58" s="981" t="s">
        <v>287</v>
      </c>
      <c r="D58" s="981" t="s">
        <v>35</v>
      </c>
      <c r="E58" s="981">
        <v>37</v>
      </c>
      <c r="F58" s="981"/>
      <c r="G58" s="981"/>
      <c r="H58" s="981">
        <v>8</v>
      </c>
      <c r="I58" s="981">
        <v>25</v>
      </c>
      <c r="J58" s="981"/>
      <c r="K58" s="981">
        <v>0</v>
      </c>
      <c r="L58" s="981">
        <v>4</v>
      </c>
    </row>
    <row r="59" spans="1:12" x14ac:dyDescent="0.25">
      <c r="A59" s="981" t="s">
        <v>206</v>
      </c>
      <c r="B59" s="981" t="s">
        <v>251</v>
      </c>
      <c r="C59" s="981" t="s">
        <v>288</v>
      </c>
      <c r="D59" s="981" t="s">
        <v>36</v>
      </c>
      <c r="E59" s="981">
        <v>69</v>
      </c>
      <c r="F59" s="981"/>
      <c r="G59" s="981"/>
      <c r="H59" s="981">
        <v>11</v>
      </c>
      <c r="I59" s="981">
        <v>52</v>
      </c>
      <c r="J59" s="981"/>
      <c r="K59" s="981">
        <v>0</v>
      </c>
      <c r="L59" s="981">
        <v>6</v>
      </c>
    </row>
    <row r="60" spans="1:12" x14ac:dyDescent="0.25">
      <c r="A60" s="981" t="s">
        <v>206</v>
      </c>
      <c r="B60" s="981" t="s">
        <v>251</v>
      </c>
      <c r="C60" s="981" t="s">
        <v>289</v>
      </c>
      <c r="D60" s="981" t="s">
        <v>38</v>
      </c>
      <c r="E60" s="981">
        <v>56</v>
      </c>
      <c r="F60" s="981"/>
      <c r="G60" s="981"/>
      <c r="H60" s="981">
        <v>9</v>
      </c>
      <c r="I60" s="981">
        <v>39</v>
      </c>
      <c r="J60" s="981"/>
      <c r="K60" s="981">
        <v>0</v>
      </c>
      <c r="L60" s="981">
        <v>8</v>
      </c>
    </row>
    <row r="61" spans="1:12" x14ac:dyDescent="0.25">
      <c r="A61" s="981" t="s">
        <v>206</v>
      </c>
      <c r="B61" s="981" t="s">
        <v>251</v>
      </c>
      <c r="C61" s="981" t="s">
        <v>290</v>
      </c>
      <c r="D61" s="981" t="s">
        <v>40</v>
      </c>
      <c r="E61" s="981">
        <v>28</v>
      </c>
      <c r="F61" s="981"/>
      <c r="G61" s="981"/>
      <c r="H61" s="981">
        <v>3</v>
      </c>
      <c r="I61" s="981">
        <v>21</v>
      </c>
      <c r="J61" s="981"/>
      <c r="K61" s="981">
        <v>0</v>
      </c>
      <c r="L61" s="981">
        <v>4</v>
      </c>
    </row>
    <row r="62" spans="1:12" x14ac:dyDescent="0.25">
      <c r="A62" s="981" t="s">
        <v>206</v>
      </c>
      <c r="B62" s="981" t="s">
        <v>251</v>
      </c>
      <c r="C62" s="981" t="s">
        <v>291</v>
      </c>
      <c r="D62" s="981" t="s">
        <v>41</v>
      </c>
      <c r="E62" s="981">
        <v>57</v>
      </c>
      <c r="F62" s="981"/>
      <c r="G62" s="981"/>
      <c r="H62" s="981">
        <v>13</v>
      </c>
      <c r="I62" s="981">
        <v>35</v>
      </c>
      <c r="J62" s="981"/>
      <c r="K62" s="981">
        <v>0</v>
      </c>
      <c r="L62" s="981">
        <v>9</v>
      </c>
    </row>
    <row r="63" spans="1:12" x14ac:dyDescent="0.25">
      <c r="A63" s="981" t="s">
        <v>206</v>
      </c>
      <c r="B63" s="981" t="s">
        <v>251</v>
      </c>
      <c r="C63" s="981" t="s">
        <v>292</v>
      </c>
      <c r="D63" s="981" t="s">
        <v>48</v>
      </c>
      <c r="E63" s="981">
        <v>0</v>
      </c>
      <c r="F63" s="981"/>
      <c r="G63" s="981"/>
      <c r="H63" s="981">
        <v>0</v>
      </c>
      <c r="I63" s="981">
        <v>0</v>
      </c>
      <c r="J63" s="981"/>
      <c r="K63" s="981">
        <v>0</v>
      </c>
      <c r="L63" s="981">
        <v>0</v>
      </c>
    </row>
    <row r="64" spans="1:12" x14ac:dyDescent="0.25">
      <c r="A64" s="981" t="s">
        <v>206</v>
      </c>
      <c r="B64" s="981" t="s">
        <v>251</v>
      </c>
      <c r="C64" s="981" t="s">
        <v>293</v>
      </c>
      <c r="D64" s="981" t="s">
        <v>42</v>
      </c>
      <c r="E64" s="981">
        <v>94</v>
      </c>
      <c r="F64" s="981"/>
      <c r="G64" s="981"/>
      <c r="H64" s="981">
        <v>17</v>
      </c>
      <c r="I64" s="981">
        <v>60</v>
      </c>
      <c r="J64" s="981"/>
      <c r="K64" s="981">
        <v>2</v>
      </c>
      <c r="L64" s="981">
        <v>15</v>
      </c>
    </row>
    <row r="65" spans="1:12" x14ac:dyDescent="0.25">
      <c r="A65" s="981" t="s">
        <v>206</v>
      </c>
      <c r="B65" s="981" t="s">
        <v>251</v>
      </c>
      <c r="C65" s="981" t="s">
        <v>294</v>
      </c>
      <c r="D65" s="981" t="s">
        <v>44</v>
      </c>
      <c r="E65" s="981">
        <v>81</v>
      </c>
      <c r="F65" s="981"/>
      <c r="G65" s="981"/>
      <c r="H65" s="981">
        <v>11</v>
      </c>
      <c r="I65" s="981">
        <v>57</v>
      </c>
      <c r="J65" s="981"/>
      <c r="K65" s="981">
        <v>1</v>
      </c>
      <c r="L65" s="981">
        <v>12</v>
      </c>
    </row>
    <row r="66" spans="1:12" x14ac:dyDescent="0.25">
      <c r="A66" s="981" t="s">
        <v>206</v>
      </c>
      <c r="B66" s="981" t="s">
        <v>251</v>
      </c>
      <c r="C66" s="981" t="s">
        <v>295</v>
      </c>
      <c r="D66" s="981" t="s">
        <v>45</v>
      </c>
      <c r="E66" s="981">
        <v>77</v>
      </c>
      <c r="F66" s="981"/>
      <c r="G66" s="981"/>
      <c r="H66" s="981">
        <v>16</v>
      </c>
      <c r="I66" s="981">
        <v>49</v>
      </c>
      <c r="J66" s="981"/>
      <c r="K66" s="981">
        <v>0</v>
      </c>
      <c r="L66" s="981">
        <v>12</v>
      </c>
    </row>
    <row r="67" spans="1:12" x14ac:dyDescent="0.25">
      <c r="A67" s="981" t="s">
        <v>206</v>
      </c>
      <c r="B67" s="981" t="s">
        <v>251</v>
      </c>
      <c r="C67" s="981" t="s">
        <v>296</v>
      </c>
      <c r="D67" s="981" t="s">
        <v>46</v>
      </c>
      <c r="E67" s="981">
        <v>35</v>
      </c>
      <c r="F67" s="981"/>
      <c r="G67" s="981"/>
      <c r="H67" s="981">
        <v>4</v>
      </c>
      <c r="I67" s="981">
        <v>26</v>
      </c>
      <c r="J67" s="981"/>
      <c r="K67" s="981">
        <v>0</v>
      </c>
      <c r="L67" s="981">
        <v>5</v>
      </c>
    </row>
    <row r="68" spans="1:12" x14ac:dyDescent="0.25">
      <c r="A68" s="981" t="s">
        <v>206</v>
      </c>
      <c r="B68" s="981" t="s">
        <v>251</v>
      </c>
      <c r="C68" s="981" t="s">
        <v>297</v>
      </c>
      <c r="D68" s="981" t="s">
        <v>47</v>
      </c>
      <c r="E68" s="981">
        <v>21</v>
      </c>
      <c r="F68" s="981"/>
      <c r="G68" s="981"/>
      <c r="H68" s="981">
        <v>3</v>
      </c>
      <c r="I68" s="981">
        <v>14</v>
      </c>
      <c r="J68" s="981"/>
      <c r="K68" s="981">
        <v>0</v>
      </c>
      <c r="L68" s="981">
        <v>4</v>
      </c>
    </row>
    <row r="69" spans="1:12" x14ac:dyDescent="0.25">
      <c r="A69" s="981" t="s">
        <v>206</v>
      </c>
      <c r="B69" s="981" t="s">
        <v>251</v>
      </c>
      <c r="C69" s="981" t="s">
        <v>298</v>
      </c>
      <c r="D69" s="981" t="s">
        <v>49</v>
      </c>
      <c r="E69" s="981">
        <v>78</v>
      </c>
      <c r="F69" s="981"/>
      <c r="G69" s="981"/>
      <c r="H69" s="981">
        <v>14</v>
      </c>
      <c r="I69" s="981">
        <v>50</v>
      </c>
      <c r="J69" s="981"/>
      <c r="K69" s="981">
        <v>0</v>
      </c>
      <c r="L69" s="981">
        <v>14</v>
      </c>
    </row>
    <row r="70" spans="1:12" x14ac:dyDescent="0.25">
      <c r="A70" s="981" t="s">
        <v>206</v>
      </c>
      <c r="B70" s="981" t="s">
        <v>251</v>
      </c>
      <c r="C70" s="981" t="s">
        <v>299</v>
      </c>
      <c r="D70" s="981" t="s">
        <v>51</v>
      </c>
      <c r="E70" s="981">
        <v>0</v>
      </c>
      <c r="F70" s="981"/>
      <c r="G70" s="981"/>
      <c r="H70" s="981">
        <v>0</v>
      </c>
      <c r="I70" s="981">
        <v>0</v>
      </c>
      <c r="J70" s="981"/>
      <c r="K70" s="981">
        <v>0</v>
      </c>
      <c r="L70" s="981">
        <v>0</v>
      </c>
    </row>
    <row r="71" spans="1:12" x14ac:dyDescent="0.25">
      <c r="A71" s="981" t="s">
        <v>206</v>
      </c>
      <c r="B71" s="981" t="s">
        <v>251</v>
      </c>
      <c r="C71" s="981" t="s">
        <v>300</v>
      </c>
      <c r="D71" s="981" t="s">
        <v>52</v>
      </c>
      <c r="E71" s="981">
        <v>86</v>
      </c>
      <c r="F71" s="981"/>
      <c r="G71" s="981"/>
      <c r="H71" s="981">
        <v>16</v>
      </c>
      <c r="I71" s="981">
        <v>58</v>
      </c>
      <c r="J71" s="981"/>
      <c r="K71" s="981">
        <v>1</v>
      </c>
      <c r="L71" s="981">
        <v>11</v>
      </c>
    </row>
    <row r="72" spans="1:12" x14ac:dyDescent="0.25">
      <c r="A72" s="981" t="s">
        <v>206</v>
      </c>
      <c r="B72" s="981" t="s">
        <v>251</v>
      </c>
      <c r="C72" s="981" t="s">
        <v>301</v>
      </c>
      <c r="D72" s="981" t="s">
        <v>54</v>
      </c>
      <c r="E72" s="981">
        <v>73</v>
      </c>
      <c r="F72" s="981"/>
      <c r="G72" s="981"/>
      <c r="H72" s="981">
        <v>11</v>
      </c>
      <c r="I72" s="981">
        <v>51</v>
      </c>
      <c r="J72" s="981"/>
      <c r="K72" s="981">
        <v>0</v>
      </c>
      <c r="L72" s="981">
        <v>11</v>
      </c>
    </row>
    <row r="73" spans="1:12" x14ac:dyDescent="0.25">
      <c r="A73" s="981" t="s">
        <v>206</v>
      </c>
      <c r="B73" s="981" t="s">
        <v>251</v>
      </c>
      <c r="C73" s="981" t="s">
        <v>302</v>
      </c>
      <c r="D73" s="981" t="s">
        <v>55</v>
      </c>
      <c r="E73" s="981">
        <v>0</v>
      </c>
      <c r="F73" s="981"/>
      <c r="G73" s="981"/>
      <c r="H73" s="981">
        <v>0</v>
      </c>
      <c r="I73" s="981">
        <v>0</v>
      </c>
      <c r="J73" s="981"/>
      <c r="K73" s="981">
        <v>0</v>
      </c>
      <c r="L73" s="981">
        <v>0</v>
      </c>
    </row>
    <row r="74" spans="1:12" x14ac:dyDescent="0.25">
      <c r="A74" s="981" t="s">
        <v>206</v>
      </c>
      <c r="B74" s="981" t="s">
        <v>251</v>
      </c>
      <c r="C74" s="981" t="s">
        <v>303</v>
      </c>
      <c r="D74" s="981" t="s">
        <v>56</v>
      </c>
      <c r="E74" s="981">
        <v>60</v>
      </c>
      <c r="F74" s="981"/>
      <c r="G74" s="981"/>
      <c r="H74" s="981">
        <v>9</v>
      </c>
      <c r="I74" s="981">
        <v>43</v>
      </c>
      <c r="J74" s="981"/>
      <c r="K74" s="981">
        <v>0</v>
      </c>
      <c r="L74" s="981">
        <v>8</v>
      </c>
    </row>
    <row r="75" spans="1:12" x14ac:dyDescent="0.25">
      <c r="A75" s="981" t="s">
        <v>206</v>
      </c>
      <c r="B75" s="981" t="s">
        <v>251</v>
      </c>
      <c r="C75" s="981" t="s">
        <v>304</v>
      </c>
      <c r="D75" s="981" t="s">
        <v>57</v>
      </c>
      <c r="E75" s="981">
        <v>187</v>
      </c>
      <c r="F75" s="981"/>
      <c r="G75" s="981"/>
      <c r="H75" s="981">
        <v>35</v>
      </c>
      <c r="I75" s="981">
        <v>126</v>
      </c>
      <c r="J75" s="981"/>
      <c r="K75" s="981">
        <v>2</v>
      </c>
      <c r="L75" s="981">
        <v>24</v>
      </c>
    </row>
    <row r="76" spans="1:12" x14ac:dyDescent="0.25">
      <c r="A76" s="981" t="s">
        <v>206</v>
      </c>
      <c r="B76" s="981" t="s">
        <v>251</v>
      </c>
      <c r="C76" s="981" t="s">
        <v>305</v>
      </c>
      <c r="D76" s="981" t="s">
        <v>58</v>
      </c>
      <c r="E76" s="981">
        <v>55</v>
      </c>
      <c r="F76" s="981"/>
      <c r="G76" s="981"/>
      <c r="H76" s="981">
        <v>10</v>
      </c>
      <c r="I76" s="981">
        <v>37</v>
      </c>
      <c r="J76" s="981"/>
      <c r="K76" s="981">
        <v>0</v>
      </c>
      <c r="L76" s="981">
        <v>8</v>
      </c>
    </row>
    <row r="77" spans="1:12" x14ac:dyDescent="0.25">
      <c r="A77" s="981" t="s">
        <v>206</v>
      </c>
      <c r="B77" s="981" t="s">
        <v>251</v>
      </c>
      <c r="C77" s="981" t="s">
        <v>306</v>
      </c>
      <c r="D77" s="981" t="s">
        <v>31</v>
      </c>
      <c r="E77" s="981">
        <v>173</v>
      </c>
      <c r="F77" s="981"/>
      <c r="G77" s="981"/>
      <c r="H77" s="981">
        <v>25</v>
      </c>
      <c r="I77" s="981">
        <v>122</v>
      </c>
      <c r="J77" s="981"/>
      <c r="K77" s="981">
        <v>0</v>
      </c>
      <c r="L77" s="981">
        <v>26</v>
      </c>
    </row>
    <row r="78" spans="1:12" x14ac:dyDescent="0.25">
      <c r="A78" s="981" t="s">
        <v>206</v>
      </c>
      <c r="B78" s="981" t="s">
        <v>251</v>
      </c>
      <c r="C78" s="981" t="s">
        <v>307</v>
      </c>
      <c r="D78" s="981" t="s">
        <v>32</v>
      </c>
      <c r="E78" s="981">
        <v>23</v>
      </c>
      <c r="F78" s="981"/>
      <c r="G78" s="981"/>
      <c r="H78" s="981">
        <v>3</v>
      </c>
      <c r="I78" s="981">
        <v>18</v>
      </c>
      <c r="J78" s="981"/>
      <c r="K78" s="981">
        <v>0</v>
      </c>
      <c r="L78" s="981">
        <v>2</v>
      </c>
    </row>
    <row r="79" spans="1:12" x14ac:dyDescent="0.25">
      <c r="A79" s="981" t="s">
        <v>206</v>
      </c>
      <c r="B79" s="981" t="s">
        <v>251</v>
      </c>
      <c r="C79" s="981" t="s">
        <v>308</v>
      </c>
      <c r="D79" s="981" t="s">
        <v>34</v>
      </c>
      <c r="E79" s="981">
        <v>54</v>
      </c>
      <c r="F79" s="981"/>
      <c r="G79" s="981"/>
      <c r="H79" s="981">
        <v>10</v>
      </c>
      <c r="I79" s="981">
        <v>27</v>
      </c>
      <c r="J79" s="981"/>
      <c r="K79" s="981">
        <v>2</v>
      </c>
      <c r="L79" s="981">
        <v>15</v>
      </c>
    </row>
    <row r="80" spans="1:12" x14ac:dyDescent="0.25">
      <c r="A80" s="981" t="s">
        <v>206</v>
      </c>
      <c r="B80" s="981" t="s">
        <v>251</v>
      </c>
      <c r="C80" s="981" t="s">
        <v>309</v>
      </c>
      <c r="D80" s="981" t="s">
        <v>262</v>
      </c>
      <c r="E80" s="981">
        <v>348</v>
      </c>
      <c r="F80" s="981"/>
      <c r="G80" s="981"/>
      <c r="H80" s="981">
        <v>64</v>
      </c>
      <c r="I80" s="981">
        <v>257</v>
      </c>
      <c r="J80" s="981"/>
      <c r="K80" s="981">
        <v>1</v>
      </c>
      <c r="L80" s="981">
        <v>26</v>
      </c>
    </row>
    <row r="81" spans="1:12" x14ac:dyDescent="0.25">
      <c r="A81" s="981" t="s">
        <v>206</v>
      </c>
      <c r="B81" s="981" t="s">
        <v>251</v>
      </c>
      <c r="C81" s="981" t="s">
        <v>310</v>
      </c>
      <c r="D81" s="981" t="s">
        <v>53</v>
      </c>
      <c r="E81" s="981">
        <v>115</v>
      </c>
      <c r="F81" s="981"/>
      <c r="G81" s="981"/>
      <c r="H81" s="981">
        <v>23</v>
      </c>
      <c r="I81" s="981">
        <v>72</v>
      </c>
      <c r="J81" s="981"/>
      <c r="K81" s="981">
        <v>0</v>
      </c>
      <c r="L81" s="981">
        <v>20</v>
      </c>
    </row>
    <row r="82" spans="1:12" x14ac:dyDescent="0.25">
      <c r="A82" s="981" t="s">
        <v>206</v>
      </c>
      <c r="B82" s="981" t="s">
        <v>251</v>
      </c>
      <c r="C82" s="981" t="s">
        <v>311</v>
      </c>
      <c r="D82" s="981" t="s">
        <v>59</v>
      </c>
      <c r="E82" s="981">
        <v>74</v>
      </c>
      <c r="F82" s="981"/>
      <c r="G82" s="981"/>
      <c r="H82" s="981">
        <v>20</v>
      </c>
      <c r="I82" s="981">
        <v>45</v>
      </c>
      <c r="J82" s="981"/>
      <c r="K82" s="981">
        <v>0</v>
      </c>
      <c r="L82" s="981">
        <v>9</v>
      </c>
    </row>
    <row r="83" spans="1:12" x14ac:dyDescent="0.25">
      <c r="A83" s="981" t="s">
        <v>206</v>
      </c>
      <c r="B83" s="981" t="s">
        <v>251</v>
      </c>
      <c r="C83" s="981" t="s">
        <v>312</v>
      </c>
      <c r="D83" s="981" t="s">
        <v>60</v>
      </c>
      <c r="E83" s="981">
        <v>79</v>
      </c>
      <c r="F83" s="981"/>
      <c r="G83" s="981"/>
      <c r="H83" s="981">
        <v>9</v>
      </c>
      <c r="I83" s="981">
        <v>59</v>
      </c>
      <c r="J83" s="981"/>
      <c r="K83" s="981">
        <v>1</v>
      </c>
      <c r="L83" s="981">
        <v>10</v>
      </c>
    </row>
    <row r="84" spans="1:12" x14ac:dyDescent="0.25">
      <c r="A84" s="981" t="s">
        <v>206</v>
      </c>
      <c r="B84" s="981" t="s">
        <v>251</v>
      </c>
      <c r="C84" s="981" t="s">
        <v>313</v>
      </c>
      <c r="D84" s="981" t="s">
        <v>33</v>
      </c>
      <c r="E84" s="981">
        <v>27</v>
      </c>
      <c r="F84" s="981"/>
      <c r="G84" s="981"/>
      <c r="H84" s="981">
        <v>0</v>
      </c>
      <c r="I84" s="981">
        <v>22</v>
      </c>
      <c r="J84" s="981"/>
      <c r="K84" s="981">
        <v>1</v>
      </c>
      <c r="L84" s="981">
        <v>4</v>
      </c>
    </row>
    <row r="85" spans="1:12" x14ac:dyDescent="0.25">
      <c r="A85" s="981" t="s">
        <v>206</v>
      </c>
      <c r="B85" s="981" t="s">
        <v>251</v>
      </c>
      <c r="C85" s="981" t="s">
        <v>314</v>
      </c>
      <c r="D85" s="981" t="s">
        <v>37</v>
      </c>
      <c r="E85" s="981">
        <v>207</v>
      </c>
      <c r="F85" s="981"/>
      <c r="G85" s="981"/>
      <c r="H85" s="981">
        <v>27</v>
      </c>
      <c r="I85" s="981">
        <v>158</v>
      </c>
      <c r="J85" s="981"/>
      <c r="K85" s="981">
        <v>1</v>
      </c>
      <c r="L85" s="981">
        <v>21</v>
      </c>
    </row>
    <row r="86" spans="1:12" x14ac:dyDescent="0.25">
      <c r="A86" s="981" t="s">
        <v>206</v>
      </c>
      <c r="B86" s="981" t="s">
        <v>251</v>
      </c>
      <c r="C86" s="981" t="s">
        <v>315</v>
      </c>
      <c r="D86" s="981" t="s">
        <v>50</v>
      </c>
      <c r="E86" s="981">
        <v>187</v>
      </c>
      <c r="F86" s="981"/>
      <c r="G86" s="981"/>
      <c r="H86" s="981">
        <v>37</v>
      </c>
      <c r="I86" s="981">
        <v>125</v>
      </c>
      <c r="J86" s="981"/>
      <c r="K86" s="981">
        <v>1</v>
      </c>
      <c r="L86" s="981">
        <v>24</v>
      </c>
    </row>
    <row r="87" spans="1:12" x14ac:dyDescent="0.25">
      <c r="A87" s="981" t="s">
        <v>206</v>
      </c>
      <c r="B87" s="981" t="s">
        <v>251</v>
      </c>
      <c r="C87" s="981" t="s">
        <v>316</v>
      </c>
      <c r="D87" s="981" t="s">
        <v>39</v>
      </c>
      <c r="E87" s="981">
        <v>72</v>
      </c>
      <c r="F87" s="981"/>
      <c r="G87" s="981"/>
      <c r="H87" s="981">
        <v>14</v>
      </c>
      <c r="I87" s="981">
        <v>44</v>
      </c>
      <c r="J87" s="981"/>
      <c r="K87" s="981">
        <v>0</v>
      </c>
      <c r="L87" s="981">
        <v>14</v>
      </c>
    </row>
    <row r="88" spans="1:12" x14ac:dyDescent="0.25">
      <c r="A88" s="981" t="s">
        <v>206</v>
      </c>
      <c r="B88" s="981" t="s">
        <v>251</v>
      </c>
      <c r="C88" s="981" t="s">
        <v>317</v>
      </c>
      <c r="D88" s="981" t="s">
        <v>124</v>
      </c>
      <c r="E88" s="981">
        <v>544</v>
      </c>
      <c r="F88" s="981"/>
      <c r="G88" s="981"/>
      <c r="H88" s="981">
        <v>116</v>
      </c>
      <c r="I88" s="981">
        <v>362</v>
      </c>
      <c r="J88" s="981"/>
      <c r="K88" s="981">
        <v>1</v>
      </c>
      <c r="L88" s="981">
        <v>65</v>
      </c>
    </row>
    <row r="89" spans="1:12" x14ac:dyDescent="0.25">
      <c r="A89" s="981" t="s">
        <v>206</v>
      </c>
      <c r="B89" s="981" t="s">
        <v>251</v>
      </c>
      <c r="C89" s="981" t="s">
        <v>318</v>
      </c>
      <c r="D89" s="981" t="s">
        <v>43</v>
      </c>
      <c r="E89" s="981">
        <v>288</v>
      </c>
      <c r="F89" s="981"/>
      <c r="G89" s="981"/>
      <c r="H89" s="981">
        <v>54</v>
      </c>
      <c r="I89" s="981">
        <v>209</v>
      </c>
      <c r="J89" s="981"/>
      <c r="K89" s="981">
        <v>0</v>
      </c>
      <c r="L89" s="981">
        <v>25</v>
      </c>
    </row>
    <row r="90" spans="1:12" x14ac:dyDescent="0.25">
      <c r="A90" s="981" t="s">
        <v>206</v>
      </c>
      <c r="B90" s="981" t="s">
        <v>252</v>
      </c>
      <c r="C90" s="981" t="s">
        <v>374</v>
      </c>
      <c r="D90" s="981" t="s">
        <v>31</v>
      </c>
      <c r="E90" s="981">
        <v>18</v>
      </c>
      <c r="F90" s="981">
        <v>1</v>
      </c>
      <c r="G90" s="981"/>
      <c r="H90" s="981">
        <v>0</v>
      </c>
      <c r="I90" s="981">
        <v>0</v>
      </c>
      <c r="J90" s="981">
        <v>3</v>
      </c>
      <c r="K90" s="981">
        <v>7</v>
      </c>
      <c r="L90" s="981">
        <v>7</v>
      </c>
    </row>
    <row r="91" spans="1:12" x14ac:dyDescent="0.25">
      <c r="A91" s="981" t="s">
        <v>206</v>
      </c>
      <c r="B91" s="981" t="s">
        <v>252</v>
      </c>
      <c r="C91" s="981" t="s">
        <v>375</v>
      </c>
      <c r="D91" s="981" t="s">
        <v>64</v>
      </c>
      <c r="E91" s="981">
        <v>18</v>
      </c>
      <c r="F91" s="981">
        <v>1</v>
      </c>
      <c r="G91" s="981"/>
      <c r="H91" s="981">
        <v>0</v>
      </c>
      <c r="I91" s="981">
        <v>2</v>
      </c>
      <c r="J91" s="981">
        <v>1</v>
      </c>
      <c r="K91" s="981">
        <v>4</v>
      </c>
      <c r="L91" s="981">
        <v>10</v>
      </c>
    </row>
    <row r="92" spans="1:12" x14ac:dyDescent="0.25">
      <c r="A92" s="981" t="s">
        <v>206</v>
      </c>
      <c r="B92" s="981" t="s">
        <v>252</v>
      </c>
      <c r="C92" s="981" t="s">
        <v>377</v>
      </c>
      <c r="D92" s="981" t="s">
        <v>65</v>
      </c>
      <c r="E92" s="981">
        <v>21</v>
      </c>
      <c r="F92" s="981">
        <v>1</v>
      </c>
      <c r="G92" s="981"/>
      <c r="H92" s="981">
        <v>0</v>
      </c>
      <c r="I92" s="981">
        <v>1</v>
      </c>
      <c r="J92" s="981">
        <v>7</v>
      </c>
      <c r="K92" s="981">
        <v>5</v>
      </c>
      <c r="L92" s="981">
        <v>7</v>
      </c>
    </row>
    <row r="93" spans="1:12" x14ac:dyDescent="0.25">
      <c r="A93" s="981" t="s">
        <v>206</v>
      </c>
      <c r="B93" s="981" t="s">
        <v>252</v>
      </c>
      <c r="C93" s="981" t="s">
        <v>378</v>
      </c>
      <c r="D93" s="981" t="s">
        <v>36</v>
      </c>
      <c r="E93" s="981">
        <v>18</v>
      </c>
      <c r="F93" s="981">
        <v>0</v>
      </c>
      <c r="G93" s="981"/>
      <c r="H93" s="981">
        <v>0</v>
      </c>
      <c r="I93" s="981">
        <v>1</v>
      </c>
      <c r="J93" s="981">
        <v>2</v>
      </c>
      <c r="K93" s="981">
        <v>5</v>
      </c>
      <c r="L93" s="981">
        <v>10</v>
      </c>
    </row>
    <row r="94" spans="1:12" x14ac:dyDescent="0.25">
      <c r="A94" s="981" t="s">
        <v>206</v>
      </c>
      <c r="B94" s="981" t="s">
        <v>252</v>
      </c>
      <c r="C94" s="981" t="s">
        <v>379</v>
      </c>
      <c r="D94" s="981" t="s">
        <v>68</v>
      </c>
      <c r="E94" s="981">
        <v>20</v>
      </c>
      <c r="F94" s="981">
        <v>1</v>
      </c>
      <c r="G94" s="981"/>
      <c r="H94" s="981">
        <v>0</v>
      </c>
      <c r="I94" s="981">
        <v>0</v>
      </c>
      <c r="J94" s="981">
        <v>7</v>
      </c>
      <c r="K94" s="981">
        <v>7</v>
      </c>
      <c r="L94" s="981">
        <v>5</v>
      </c>
    </row>
    <row r="95" spans="1:12" x14ac:dyDescent="0.25">
      <c r="A95" s="981" t="s">
        <v>206</v>
      </c>
      <c r="B95" s="981" t="s">
        <v>252</v>
      </c>
      <c r="C95" s="981" t="s">
        <v>380</v>
      </c>
      <c r="D95" s="981" t="s">
        <v>69</v>
      </c>
      <c r="E95" s="981">
        <v>17</v>
      </c>
      <c r="F95" s="981">
        <v>1</v>
      </c>
      <c r="G95" s="981"/>
      <c r="H95" s="981">
        <v>0</v>
      </c>
      <c r="I95" s="981">
        <v>4</v>
      </c>
      <c r="J95" s="981">
        <v>5</v>
      </c>
      <c r="K95" s="981">
        <v>1</v>
      </c>
      <c r="L95" s="981">
        <v>6</v>
      </c>
    </row>
    <row r="96" spans="1:12" x14ac:dyDescent="0.25">
      <c r="A96" s="981" t="s">
        <v>206</v>
      </c>
      <c r="B96" s="981" t="s">
        <v>252</v>
      </c>
      <c r="C96" s="981" t="s">
        <v>381</v>
      </c>
      <c r="D96" s="981" t="s">
        <v>70</v>
      </c>
      <c r="E96" s="981">
        <v>12</v>
      </c>
      <c r="F96" s="981">
        <v>1</v>
      </c>
      <c r="G96" s="981"/>
      <c r="H96" s="981">
        <v>0</v>
      </c>
      <c r="I96" s="981">
        <v>0</v>
      </c>
      <c r="J96" s="981">
        <v>3</v>
      </c>
      <c r="K96" s="981">
        <v>5</v>
      </c>
      <c r="L96" s="981">
        <v>3</v>
      </c>
    </row>
    <row r="97" spans="1:12" x14ac:dyDescent="0.25">
      <c r="A97" s="981" t="s">
        <v>206</v>
      </c>
      <c r="B97" s="981" t="s">
        <v>252</v>
      </c>
      <c r="C97" s="981" t="s">
        <v>382</v>
      </c>
      <c r="D97" s="981" t="s">
        <v>178</v>
      </c>
      <c r="E97" s="981">
        <v>24</v>
      </c>
      <c r="F97" s="981">
        <v>2</v>
      </c>
      <c r="G97" s="981"/>
      <c r="H97" s="981">
        <v>2</v>
      </c>
      <c r="I97" s="981">
        <v>2</v>
      </c>
      <c r="J97" s="981">
        <v>8</v>
      </c>
      <c r="K97" s="981">
        <v>4</v>
      </c>
      <c r="L97" s="981">
        <v>6</v>
      </c>
    </row>
    <row r="98" spans="1:12" x14ac:dyDescent="0.25">
      <c r="A98" s="981" t="s">
        <v>206</v>
      </c>
      <c r="B98" s="981" t="s">
        <v>252</v>
      </c>
      <c r="C98" s="981" t="s">
        <v>383</v>
      </c>
      <c r="D98" s="981" t="s">
        <v>71</v>
      </c>
      <c r="E98" s="981">
        <v>13</v>
      </c>
      <c r="F98" s="981">
        <v>1</v>
      </c>
      <c r="G98" s="981"/>
      <c r="H98" s="981">
        <v>0</v>
      </c>
      <c r="I98" s="981">
        <v>1</v>
      </c>
      <c r="J98" s="981">
        <v>3</v>
      </c>
      <c r="K98" s="981">
        <v>3</v>
      </c>
      <c r="L98" s="981">
        <v>5</v>
      </c>
    </row>
    <row r="99" spans="1:12" x14ac:dyDescent="0.25">
      <c r="A99" s="981" t="s">
        <v>206</v>
      </c>
      <c r="B99" s="981" t="s">
        <v>252</v>
      </c>
      <c r="C99" s="981" t="s">
        <v>385</v>
      </c>
      <c r="D99" s="981" t="s">
        <v>124</v>
      </c>
      <c r="E99" s="981">
        <v>25</v>
      </c>
      <c r="F99" s="981">
        <v>1</v>
      </c>
      <c r="G99" s="981"/>
      <c r="H99" s="981">
        <v>1</v>
      </c>
      <c r="I99" s="981">
        <v>2</v>
      </c>
      <c r="J99" s="981">
        <v>4</v>
      </c>
      <c r="K99" s="981">
        <v>8</v>
      </c>
      <c r="L99" s="981">
        <v>9</v>
      </c>
    </row>
    <row r="100" spans="1:12" x14ac:dyDescent="0.25">
      <c r="A100" s="981" t="s">
        <v>206</v>
      </c>
      <c r="B100" s="981" t="s">
        <v>252</v>
      </c>
      <c r="C100" s="981" t="s">
        <v>386</v>
      </c>
      <c r="D100" s="981" t="s">
        <v>72</v>
      </c>
      <c r="E100" s="981">
        <v>13</v>
      </c>
      <c r="F100" s="981">
        <v>1</v>
      </c>
      <c r="G100" s="981"/>
      <c r="H100" s="981">
        <v>0</v>
      </c>
      <c r="I100" s="981">
        <v>0</v>
      </c>
      <c r="J100" s="981">
        <v>6</v>
      </c>
      <c r="K100" s="981">
        <v>5</v>
      </c>
      <c r="L100" s="981">
        <v>1</v>
      </c>
    </row>
    <row r="101" spans="1:12" x14ac:dyDescent="0.25">
      <c r="A101" s="981" t="s">
        <v>206</v>
      </c>
      <c r="B101" s="981" t="s">
        <v>252</v>
      </c>
      <c r="C101" s="981" t="s">
        <v>387</v>
      </c>
      <c r="D101" s="981" t="s">
        <v>50</v>
      </c>
      <c r="E101" s="981">
        <v>16</v>
      </c>
      <c r="F101" s="981">
        <v>2</v>
      </c>
      <c r="G101" s="981"/>
      <c r="H101" s="981">
        <v>1</v>
      </c>
      <c r="I101" s="981">
        <v>1</v>
      </c>
      <c r="J101" s="981">
        <v>3</v>
      </c>
      <c r="K101" s="981">
        <v>5</v>
      </c>
      <c r="L101" s="981">
        <v>4</v>
      </c>
    </row>
    <row r="102" spans="1:12" x14ac:dyDescent="0.25">
      <c r="A102" s="981" t="s">
        <v>206</v>
      </c>
      <c r="B102" s="981" t="s">
        <v>252</v>
      </c>
      <c r="C102" s="981" t="s">
        <v>388</v>
      </c>
      <c r="D102" s="981" t="s">
        <v>57</v>
      </c>
      <c r="E102" s="981">
        <v>10</v>
      </c>
      <c r="F102" s="981">
        <v>1</v>
      </c>
      <c r="G102" s="981"/>
      <c r="H102" s="981">
        <v>0</v>
      </c>
      <c r="I102" s="981">
        <v>0</v>
      </c>
      <c r="J102" s="981">
        <v>4</v>
      </c>
      <c r="K102" s="981">
        <v>2</v>
      </c>
      <c r="L102" s="981">
        <v>3</v>
      </c>
    </row>
    <row r="103" spans="1:12" x14ac:dyDescent="0.25">
      <c r="A103" s="981" t="s">
        <v>206</v>
      </c>
      <c r="B103" s="981" t="s">
        <v>252</v>
      </c>
      <c r="C103" s="981" t="s">
        <v>389</v>
      </c>
      <c r="D103" s="981" t="s">
        <v>73</v>
      </c>
      <c r="E103" s="981">
        <v>5</v>
      </c>
      <c r="F103" s="981">
        <v>0</v>
      </c>
      <c r="G103" s="981"/>
      <c r="H103" s="981">
        <v>0</v>
      </c>
      <c r="I103" s="981">
        <v>0</v>
      </c>
      <c r="J103" s="981">
        <v>1</v>
      </c>
      <c r="K103" s="981">
        <v>4</v>
      </c>
      <c r="L103" s="981">
        <v>0</v>
      </c>
    </row>
    <row r="104" spans="1:12" x14ac:dyDescent="0.25">
      <c r="A104" s="981" t="s">
        <v>206</v>
      </c>
      <c r="B104" s="981" t="s">
        <v>252</v>
      </c>
      <c r="C104" s="981" t="s">
        <v>390</v>
      </c>
      <c r="D104" s="981" t="s">
        <v>74</v>
      </c>
      <c r="E104" s="981">
        <v>7</v>
      </c>
      <c r="F104" s="981">
        <v>1</v>
      </c>
      <c r="G104" s="981"/>
      <c r="H104" s="981">
        <v>0</v>
      </c>
      <c r="I104" s="981">
        <v>0</v>
      </c>
      <c r="J104" s="981">
        <v>3</v>
      </c>
      <c r="K104" s="981">
        <v>3</v>
      </c>
      <c r="L104" s="981">
        <v>0</v>
      </c>
    </row>
    <row r="105" spans="1:12" x14ac:dyDescent="0.25">
      <c r="A105" s="981" t="s">
        <v>206</v>
      </c>
      <c r="B105" s="981" t="s">
        <v>252</v>
      </c>
      <c r="C105" s="981" t="s">
        <v>376</v>
      </c>
      <c r="D105" s="981" t="s">
        <v>67</v>
      </c>
      <c r="E105" s="981">
        <v>12</v>
      </c>
      <c r="F105" s="981">
        <v>1</v>
      </c>
      <c r="G105" s="981"/>
      <c r="H105" s="981">
        <v>0</v>
      </c>
      <c r="I105" s="981">
        <v>0</v>
      </c>
      <c r="J105" s="981">
        <v>3</v>
      </c>
      <c r="K105" s="981">
        <v>5</v>
      </c>
      <c r="L105" s="981">
        <v>3</v>
      </c>
    </row>
    <row r="106" spans="1:12" x14ac:dyDescent="0.25">
      <c r="A106" s="981" t="s">
        <v>206</v>
      </c>
      <c r="B106" s="981" t="s">
        <v>252</v>
      </c>
      <c r="C106" s="981" t="s">
        <v>384</v>
      </c>
      <c r="D106" s="981" t="s">
        <v>43</v>
      </c>
      <c r="E106" s="981">
        <v>21</v>
      </c>
      <c r="F106" s="981">
        <v>2</v>
      </c>
      <c r="G106" s="981"/>
      <c r="H106" s="981">
        <v>0</v>
      </c>
      <c r="I106" s="981">
        <v>0</v>
      </c>
      <c r="J106" s="981">
        <v>2</v>
      </c>
      <c r="K106" s="981">
        <v>6</v>
      </c>
      <c r="L106" s="981">
        <v>11</v>
      </c>
    </row>
    <row r="107" spans="1:12" x14ac:dyDescent="0.25">
      <c r="A107" s="981" t="s">
        <v>206</v>
      </c>
      <c r="B107" s="981" t="s">
        <v>253</v>
      </c>
      <c r="C107" s="981" t="s">
        <v>412</v>
      </c>
      <c r="D107" s="981" t="s">
        <v>176</v>
      </c>
      <c r="E107" s="981">
        <v>105</v>
      </c>
      <c r="F107" s="981">
        <v>2</v>
      </c>
      <c r="G107" s="981"/>
      <c r="H107" s="981">
        <v>9</v>
      </c>
      <c r="I107" s="981">
        <v>0</v>
      </c>
      <c r="J107" s="981">
        <v>15</v>
      </c>
      <c r="K107" s="981">
        <v>4</v>
      </c>
      <c r="L107" s="981">
        <v>75</v>
      </c>
    </row>
    <row r="108" spans="1:12" x14ac:dyDescent="0.25">
      <c r="A108" s="981" t="s">
        <v>206</v>
      </c>
      <c r="B108" s="981" t="s">
        <v>253</v>
      </c>
      <c r="C108" s="981" t="s">
        <v>411</v>
      </c>
      <c r="D108" s="981" t="s">
        <v>177</v>
      </c>
      <c r="E108" s="981">
        <v>78</v>
      </c>
      <c r="F108" s="981">
        <v>1</v>
      </c>
      <c r="G108" s="981"/>
      <c r="H108" s="981">
        <v>4</v>
      </c>
      <c r="I108" s="981">
        <v>6</v>
      </c>
      <c r="J108" s="981">
        <v>4</v>
      </c>
      <c r="K108" s="981">
        <v>17</v>
      </c>
      <c r="L108" s="981">
        <v>46</v>
      </c>
    </row>
    <row r="109" spans="1:12" x14ac:dyDescent="0.25">
      <c r="A109" s="981" t="s">
        <v>206</v>
      </c>
      <c r="B109" s="981" t="s">
        <v>253</v>
      </c>
      <c r="C109" s="981" t="s">
        <v>413</v>
      </c>
      <c r="D109" s="981" t="s">
        <v>175</v>
      </c>
      <c r="E109" s="981">
        <v>66</v>
      </c>
      <c r="F109" s="981">
        <v>1</v>
      </c>
      <c r="G109" s="981"/>
      <c r="H109" s="981">
        <v>21</v>
      </c>
      <c r="I109" s="981">
        <v>1</v>
      </c>
      <c r="J109" s="981">
        <v>7</v>
      </c>
      <c r="K109" s="981">
        <v>10</v>
      </c>
      <c r="L109" s="981">
        <v>26</v>
      </c>
    </row>
    <row r="110" spans="1:12" x14ac:dyDescent="0.25">
      <c r="A110" s="981" t="s">
        <v>206</v>
      </c>
      <c r="B110" s="981" t="s">
        <v>254</v>
      </c>
      <c r="C110" s="981" t="s">
        <v>391</v>
      </c>
      <c r="D110" s="981" t="s">
        <v>263</v>
      </c>
      <c r="E110" s="981">
        <v>52</v>
      </c>
      <c r="F110" s="981">
        <v>11</v>
      </c>
      <c r="G110" s="981">
        <v>7</v>
      </c>
      <c r="H110" s="981">
        <v>4</v>
      </c>
      <c r="I110" s="981">
        <v>1</v>
      </c>
      <c r="J110" s="981">
        <v>12</v>
      </c>
      <c r="K110" s="981">
        <v>6</v>
      </c>
      <c r="L110" s="981">
        <v>11</v>
      </c>
    </row>
    <row r="111" spans="1:12" x14ac:dyDescent="0.25">
      <c r="A111" s="981" t="s">
        <v>205</v>
      </c>
      <c r="B111" s="981" t="s">
        <v>251</v>
      </c>
      <c r="C111" s="981" t="s">
        <v>287</v>
      </c>
      <c r="D111" s="981" t="s">
        <v>35</v>
      </c>
      <c r="E111" s="981">
        <v>26</v>
      </c>
      <c r="F111" s="981"/>
      <c r="G111" s="981"/>
      <c r="H111" s="981">
        <v>5</v>
      </c>
      <c r="I111" s="981">
        <v>17</v>
      </c>
      <c r="J111" s="981"/>
      <c r="K111" s="981">
        <v>0</v>
      </c>
      <c r="L111" s="981">
        <v>4</v>
      </c>
    </row>
    <row r="112" spans="1:12" x14ac:dyDescent="0.25">
      <c r="A112" s="981" t="s">
        <v>205</v>
      </c>
      <c r="B112" s="981" t="s">
        <v>251</v>
      </c>
      <c r="C112" s="981" t="s">
        <v>288</v>
      </c>
      <c r="D112" s="981" t="s">
        <v>36</v>
      </c>
      <c r="E112" s="981">
        <v>65</v>
      </c>
      <c r="F112" s="981"/>
      <c r="G112" s="981"/>
      <c r="H112" s="981">
        <v>14</v>
      </c>
      <c r="I112" s="981">
        <v>48</v>
      </c>
      <c r="J112" s="981"/>
      <c r="K112" s="981">
        <v>0</v>
      </c>
      <c r="L112" s="981">
        <v>3</v>
      </c>
    </row>
    <row r="113" spans="1:12" x14ac:dyDescent="0.25">
      <c r="A113" s="981" t="s">
        <v>205</v>
      </c>
      <c r="B113" s="981" t="s">
        <v>251</v>
      </c>
      <c r="C113" s="981" t="s">
        <v>289</v>
      </c>
      <c r="D113" s="981" t="s">
        <v>38</v>
      </c>
      <c r="E113" s="981">
        <v>53</v>
      </c>
      <c r="F113" s="981"/>
      <c r="G113" s="981"/>
      <c r="H113" s="981">
        <v>7</v>
      </c>
      <c r="I113" s="981">
        <v>41</v>
      </c>
      <c r="J113" s="981"/>
      <c r="K113" s="981">
        <v>0</v>
      </c>
      <c r="L113" s="981">
        <v>5</v>
      </c>
    </row>
    <row r="114" spans="1:12" x14ac:dyDescent="0.25">
      <c r="A114" s="981" t="s">
        <v>205</v>
      </c>
      <c r="B114" s="981" t="s">
        <v>251</v>
      </c>
      <c r="C114" s="981" t="s">
        <v>290</v>
      </c>
      <c r="D114" s="981" t="s">
        <v>40</v>
      </c>
      <c r="E114" s="981">
        <v>27</v>
      </c>
      <c r="F114" s="981"/>
      <c r="G114" s="981"/>
      <c r="H114" s="981">
        <v>4</v>
      </c>
      <c r="I114" s="981">
        <v>19</v>
      </c>
      <c r="J114" s="981"/>
      <c r="K114" s="981">
        <v>0</v>
      </c>
      <c r="L114" s="981">
        <v>4</v>
      </c>
    </row>
    <row r="115" spans="1:12" x14ac:dyDescent="0.25">
      <c r="A115" s="981" t="s">
        <v>205</v>
      </c>
      <c r="B115" s="981" t="s">
        <v>251</v>
      </c>
      <c r="C115" s="981" t="s">
        <v>291</v>
      </c>
      <c r="D115" s="981" t="s">
        <v>41</v>
      </c>
      <c r="E115" s="981">
        <v>53</v>
      </c>
      <c r="F115" s="981"/>
      <c r="G115" s="981"/>
      <c r="H115" s="981">
        <v>10</v>
      </c>
      <c r="I115" s="981">
        <v>34</v>
      </c>
      <c r="J115" s="981"/>
      <c r="K115" s="981">
        <v>0</v>
      </c>
      <c r="L115" s="981">
        <v>9</v>
      </c>
    </row>
    <row r="116" spans="1:12" x14ac:dyDescent="0.25">
      <c r="A116" s="981" t="s">
        <v>205</v>
      </c>
      <c r="B116" s="981" t="s">
        <v>251</v>
      </c>
      <c r="C116" s="981" t="s">
        <v>292</v>
      </c>
      <c r="D116" s="981" t="s">
        <v>48</v>
      </c>
      <c r="E116" s="981">
        <v>0</v>
      </c>
      <c r="F116" s="981"/>
      <c r="G116" s="981"/>
      <c r="H116" s="981">
        <v>0</v>
      </c>
      <c r="I116" s="981">
        <v>0</v>
      </c>
      <c r="J116" s="981"/>
      <c r="K116" s="981">
        <v>0</v>
      </c>
      <c r="L116" s="981">
        <v>0</v>
      </c>
    </row>
    <row r="117" spans="1:12" x14ac:dyDescent="0.25">
      <c r="A117" s="981" t="s">
        <v>205</v>
      </c>
      <c r="B117" s="981" t="s">
        <v>251</v>
      </c>
      <c r="C117" s="981" t="s">
        <v>293</v>
      </c>
      <c r="D117" s="981" t="s">
        <v>42</v>
      </c>
      <c r="E117" s="981">
        <v>95</v>
      </c>
      <c r="F117" s="981"/>
      <c r="G117" s="981"/>
      <c r="H117" s="981">
        <v>17</v>
      </c>
      <c r="I117" s="981">
        <v>66</v>
      </c>
      <c r="J117" s="981"/>
      <c r="K117" s="981">
        <v>0</v>
      </c>
      <c r="L117" s="981">
        <v>12</v>
      </c>
    </row>
    <row r="118" spans="1:12" x14ac:dyDescent="0.25">
      <c r="A118" s="981" t="s">
        <v>205</v>
      </c>
      <c r="B118" s="981" t="s">
        <v>251</v>
      </c>
      <c r="C118" s="981" t="s">
        <v>294</v>
      </c>
      <c r="D118" s="981" t="s">
        <v>44</v>
      </c>
      <c r="E118" s="981">
        <v>68</v>
      </c>
      <c r="F118" s="981"/>
      <c r="G118" s="981"/>
      <c r="H118" s="981">
        <v>11</v>
      </c>
      <c r="I118" s="981">
        <v>53</v>
      </c>
      <c r="J118" s="981"/>
      <c r="K118" s="981">
        <v>0</v>
      </c>
      <c r="L118" s="981">
        <v>4</v>
      </c>
    </row>
    <row r="119" spans="1:12" x14ac:dyDescent="0.25">
      <c r="A119" s="981" t="s">
        <v>205</v>
      </c>
      <c r="B119" s="981" t="s">
        <v>251</v>
      </c>
      <c r="C119" s="981" t="s">
        <v>295</v>
      </c>
      <c r="D119" s="981" t="s">
        <v>45</v>
      </c>
      <c r="E119" s="981">
        <v>70</v>
      </c>
      <c r="F119" s="981"/>
      <c r="G119" s="981"/>
      <c r="H119" s="981">
        <v>12</v>
      </c>
      <c r="I119" s="981">
        <v>48</v>
      </c>
      <c r="J119" s="981"/>
      <c r="K119" s="981">
        <v>1</v>
      </c>
      <c r="L119" s="981">
        <v>9</v>
      </c>
    </row>
    <row r="120" spans="1:12" x14ac:dyDescent="0.25">
      <c r="A120" s="981" t="s">
        <v>205</v>
      </c>
      <c r="B120" s="981" t="s">
        <v>251</v>
      </c>
      <c r="C120" s="981" t="s">
        <v>296</v>
      </c>
      <c r="D120" s="981" t="s">
        <v>46</v>
      </c>
      <c r="E120" s="981">
        <v>23</v>
      </c>
      <c r="F120" s="981"/>
      <c r="G120" s="981"/>
      <c r="H120" s="981">
        <v>4</v>
      </c>
      <c r="I120" s="981">
        <v>16</v>
      </c>
      <c r="J120" s="981"/>
      <c r="K120" s="981">
        <v>0</v>
      </c>
      <c r="L120" s="981">
        <v>3</v>
      </c>
    </row>
    <row r="121" spans="1:12" x14ac:dyDescent="0.25">
      <c r="A121" s="981" t="s">
        <v>205</v>
      </c>
      <c r="B121" s="981" t="s">
        <v>251</v>
      </c>
      <c r="C121" s="981" t="s">
        <v>297</v>
      </c>
      <c r="D121" s="981" t="s">
        <v>47</v>
      </c>
      <c r="E121" s="981">
        <v>31</v>
      </c>
      <c r="F121" s="981"/>
      <c r="G121" s="981"/>
      <c r="H121" s="981">
        <v>5</v>
      </c>
      <c r="I121" s="981">
        <v>21</v>
      </c>
      <c r="J121" s="981"/>
      <c r="K121" s="981">
        <v>0</v>
      </c>
      <c r="L121" s="981">
        <v>5</v>
      </c>
    </row>
    <row r="122" spans="1:12" x14ac:dyDescent="0.25">
      <c r="A122" s="981" t="s">
        <v>205</v>
      </c>
      <c r="B122" s="981" t="s">
        <v>251</v>
      </c>
      <c r="C122" s="981" t="s">
        <v>298</v>
      </c>
      <c r="D122" s="981" t="s">
        <v>49</v>
      </c>
      <c r="E122" s="981">
        <v>78</v>
      </c>
      <c r="F122" s="981"/>
      <c r="G122" s="981"/>
      <c r="H122" s="981">
        <v>14</v>
      </c>
      <c r="I122" s="981">
        <v>52</v>
      </c>
      <c r="J122" s="981"/>
      <c r="K122" s="981">
        <v>0</v>
      </c>
      <c r="L122" s="981">
        <v>12</v>
      </c>
    </row>
    <row r="123" spans="1:12" x14ac:dyDescent="0.25">
      <c r="A123" s="981" t="s">
        <v>205</v>
      </c>
      <c r="B123" s="981" t="s">
        <v>251</v>
      </c>
      <c r="C123" s="981" t="s">
        <v>299</v>
      </c>
      <c r="D123" s="981" t="s">
        <v>51</v>
      </c>
      <c r="E123" s="981">
        <v>0</v>
      </c>
      <c r="F123" s="981"/>
      <c r="G123" s="981"/>
      <c r="H123" s="981">
        <v>0</v>
      </c>
      <c r="I123" s="981">
        <v>0</v>
      </c>
      <c r="J123" s="981"/>
      <c r="K123" s="981">
        <v>0</v>
      </c>
      <c r="L123" s="981">
        <v>0</v>
      </c>
    </row>
    <row r="124" spans="1:12" x14ac:dyDescent="0.25">
      <c r="A124" s="981" t="s">
        <v>205</v>
      </c>
      <c r="B124" s="981" t="s">
        <v>251</v>
      </c>
      <c r="C124" s="981" t="s">
        <v>300</v>
      </c>
      <c r="D124" s="981" t="s">
        <v>52</v>
      </c>
      <c r="E124" s="981">
        <v>73</v>
      </c>
      <c r="F124" s="981"/>
      <c r="G124" s="981"/>
      <c r="H124" s="981">
        <v>13</v>
      </c>
      <c r="I124" s="981">
        <v>56</v>
      </c>
      <c r="J124" s="981"/>
      <c r="K124" s="981">
        <v>0</v>
      </c>
      <c r="L124" s="981">
        <v>4</v>
      </c>
    </row>
    <row r="125" spans="1:12" x14ac:dyDescent="0.25">
      <c r="A125" s="981" t="s">
        <v>205</v>
      </c>
      <c r="B125" s="981" t="s">
        <v>251</v>
      </c>
      <c r="C125" s="981" t="s">
        <v>301</v>
      </c>
      <c r="D125" s="981" t="s">
        <v>54</v>
      </c>
      <c r="E125" s="981">
        <v>71</v>
      </c>
      <c r="F125" s="981"/>
      <c r="G125" s="981"/>
      <c r="H125" s="981">
        <v>12</v>
      </c>
      <c r="I125" s="981">
        <v>50</v>
      </c>
      <c r="J125" s="981"/>
      <c r="K125" s="981">
        <v>0</v>
      </c>
      <c r="L125" s="981">
        <v>9</v>
      </c>
    </row>
    <row r="126" spans="1:12" x14ac:dyDescent="0.25">
      <c r="A126" s="981" t="s">
        <v>205</v>
      </c>
      <c r="B126" s="981" t="s">
        <v>251</v>
      </c>
      <c r="C126" s="981" t="s">
        <v>302</v>
      </c>
      <c r="D126" s="981" t="s">
        <v>55</v>
      </c>
      <c r="E126" s="981">
        <v>0</v>
      </c>
      <c r="F126" s="981"/>
      <c r="G126" s="981"/>
      <c r="H126" s="981">
        <v>0</v>
      </c>
      <c r="I126" s="981">
        <v>0</v>
      </c>
      <c r="J126" s="981"/>
      <c r="K126" s="981">
        <v>0</v>
      </c>
      <c r="L126" s="981">
        <v>0</v>
      </c>
    </row>
    <row r="127" spans="1:12" x14ac:dyDescent="0.25">
      <c r="A127" s="981" t="s">
        <v>205</v>
      </c>
      <c r="B127" s="981" t="s">
        <v>251</v>
      </c>
      <c r="C127" s="981" t="s">
        <v>303</v>
      </c>
      <c r="D127" s="981" t="s">
        <v>56</v>
      </c>
      <c r="E127" s="981">
        <v>55</v>
      </c>
      <c r="F127" s="981"/>
      <c r="G127" s="981"/>
      <c r="H127" s="981">
        <v>10</v>
      </c>
      <c r="I127" s="981">
        <v>40</v>
      </c>
      <c r="J127" s="981"/>
      <c r="K127" s="981">
        <v>0</v>
      </c>
      <c r="L127" s="981">
        <v>5</v>
      </c>
    </row>
    <row r="128" spans="1:12" x14ac:dyDescent="0.25">
      <c r="A128" s="981" t="s">
        <v>205</v>
      </c>
      <c r="B128" s="981" t="s">
        <v>251</v>
      </c>
      <c r="C128" s="981" t="s">
        <v>304</v>
      </c>
      <c r="D128" s="981" t="s">
        <v>57</v>
      </c>
      <c r="E128" s="981">
        <v>178</v>
      </c>
      <c r="F128" s="981"/>
      <c r="G128" s="981"/>
      <c r="H128" s="981">
        <v>28</v>
      </c>
      <c r="I128" s="981">
        <v>132</v>
      </c>
      <c r="J128" s="981"/>
      <c r="K128" s="981">
        <v>0</v>
      </c>
      <c r="L128" s="981">
        <v>18</v>
      </c>
    </row>
    <row r="129" spans="1:12" x14ac:dyDescent="0.25">
      <c r="A129" s="981" t="s">
        <v>205</v>
      </c>
      <c r="B129" s="981" t="s">
        <v>251</v>
      </c>
      <c r="C129" s="981" t="s">
        <v>305</v>
      </c>
      <c r="D129" s="981" t="s">
        <v>58</v>
      </c>
      <c r="E129" s="981">
        <v>51</v>
      </c>
      <c r="F129" s="981"/>
      <c r="G129" s="981"/>
      <c r="H129" s="981">
        <v>9</v>
      </c>
      <c r="I129" s="981">
        <v>40</v>
      </c>
      <c r="J129" s="981"/>
      <c r="K129" s="981">
        <v>0</v>
      </c>
      <c r="L129" s="981">
        <v>2</v>
      </c>
    </row>
    <row r="130" spans="1:12" x14ac:dyDescent="0.25">
      <c r="A130" s="981" t="s">
        <v>205</v>
      </c>
      <c r="B130" s="981" t="s">
        <v>251</v>
      </c>
      <c r="C130" s="981" t="s">
        <v>306</v>
      </c>
      <c r="D130" s="981" t="s">
        <v>31</v>
      </c>
      <c r="E130" s="981">
        <v>144</v>
      </c>
      <c r="F130" s="981"/>
      <c r="G130" s="981"/>
      <c r="H130" s="981">
        <v>22</v>
      </c>
      <c r="I130" s="981">
        <v>109</v>
      </c>
      <c r="J130" s="981"/>
      <c r="K130" s="981">
        <v>0</v>
      </c>
      <c r="L130" s="981">
        <v>13</v>
      </c>
    </row>
    <row r="131" spans="1:12" x14ac:dyDescent="0.25">
      <c r="A131" s="981" t="s">
        <v>205</v>
      </c>
      <c r="B131" s="981" t="s">
        <v>251</v>
      </c>
      <c r="C131" s="981" t="s">
        <v>307</v>
      </c>
      <c r="D131" s="981" t="s">
        <v>32</v>
      </c>
      <c r="E131" s="981">
        <v>32</v>
      </c>
      <c r="F131" s="981"/>
      <c r="G131" s="981"/>
      <c r="H131" s="981">
        <v>6</v>
      </c>
      <c r="I131" s="981">
        <v>22</v>
      </c>
      <c r="J131" s="981"/>
      <c r="K131" s="981">
        <v>0</v>
      </c>
      <c r="L131" s="981">
        <v>4</v>
      </c>
    </row>
    <row r="132" spans="1:12" x14ac:dyDescent="0.25">
      <c r="A132" s="981" t="s">
        <v>205</v>
      </c>
      <c r="B132" s="981" t="s">
        <v>251</v>
      </c>
      <c r="C132" s="981" t="s">
        <v>308</v>
      </c>
      <c r="D132" s="981" t="s">
        <v>34</v>
      </c>
      <c r="E132" s="981">
        <v>55</v>
      </c>
      <c r="F132" s="981"/>
      <c r="G132" s="981"/>
      <c r="H132" s="981">
        <v>8</v>
      </c>
      <c r="I132" s="981">
        <v>37</v>
      </c>
      <c r="J132" s="981"/>
      <c r="K132" s="981">
        <v>0</v>
      </c>
      <c r="L132" s="981">
        <v>10</v>
      </c>
    </row>
    <row r="133" spans="1:12" x14ac:dyDescent="0.25">
      <c r="A133" s="981" t="s">
        <v>205</v>
      </c>
      <c r="B133" s="981" t="s">
        <v>251</v>
      </c>
      <c r="C133" s="981" t="s">
        <v>309</v>
      </c>
      <c r="D133" s="981" t="s">
        <v>262</v>
      </c>
      <c r="E133" s="981">
        <v>315</v>
      </c>
      <c r="F133" s="981"/>
      <c r="G133" s="981"/>
      <c r="H133" s="981">
        <v>48</v>
      </c>
      <c r="I133" s="981">
        <v>248</v>
      </c>
      <c r="J133" s="981"/>
      <c r="K133" s="981">
        <v>0</v>
      </c>
      <c r="L133" s="981">
        <v>19</v>
      </c>
    </row>
    <row r="134" spans="1:12" x14ac:dyDescent="0.25">
      <c r="A134" s="981" t="s">
        <v>205</v>
      </c>
      <c r="B134" s="981" t="s">
        <v>251</v>
      </c>
      <c r="C134" s="981" t="s">
        <v>310</v>
      </c>
      <c r="D134" s="981" t="s">
        <v>53</v>
      </c>
      <c r="E134" s="981">
        <v>92</v>
      </c>
      <c r="F134" s="981"/>
      <c r="G134" s="981"/>
      <c r="H134" s="981">
        <v>15</v>
      </c>
      <c r="I134" s="981">
        <v>62</v>
      </c>
      <c r="J134" s="981"/>
      <c r="K134" s="981">
        <v>0</v>
      </c>
      <c r="L134" s="981">
        <v>15</v>
      </c>
    </row>
    <row r="135" spans="1:12" x14ac:dyDescent="0.25">
      <c r="A135" s="981" t="s">
        <v>205</v>
      </c>
      <c r="B135" s="981" t="s">
        <v>251</v>
      </c>
      <c r="C135" s="981" t="s">
        <v>311</v>
      </c>
      <c r="D135" s="981" t="s">
        <v>59</v>
      </c>
      <c r="E135" s="981">
        <v>70</v>
      </c>
      <c r="F135" s="981"/>
      <c r="G135" s="981"/>
      <c r="H135" s="981">
        <v>11</v>
      </c>
      <c r="I135" s="981">
        <v>49</v>
      </c>
      <c r="J135" s="981"/>
      <c r="K135" s="981">
        <v>0</v>
      </c>
      <c r="L135" s="981">
        <v>10</v>
      </c>
    </row>
    <row r="136" spans="1:12" x14ac:dyDescent="0.25">
      <c r="A136" s="981" t="s">
        <v>205</v>
      </c>
      <c r="B136" s="981" t="s">
        <v>251</v>
      </c>
      <c r="C136" s="981" t="s">
        <v>312</v>
      </c>
      <c r="D136" s="981" t="s">
        <v>60</v>
      </c>
      <c r="E136" s="981">
        <v>61</v>
      </c>
      <c r="F136" s="981"/>
      <c r="G136" s="981"/>
      <c r="H136" s="981">
        <v>9</v>
      </c>
      <c r="I136" s="981">
        <v>44</v>
      </c>
      <c r="J136" s="981"/>
      <c r="K136" s="981">
        <v>0</v>
      </c>
      <c r="L136" s="981">
        <v>8</v>
      </c>
    </row>
    <row r="137" spans="1:12" x14ac:dyDescent="0.25">
      <c r="A137" s="981" t="s">
        <v>205</v>
      </c>
      <c r="B137" s="981" t="s">
        <v>251</v>
      </c>
      <c r="C137" s="981" t="s">
        <v>313</v>
      </c>
      <c r="D137" s="981" t="s">
        <v>33</v>
      </c>
      <c r="E137" s="981">
        <v>36</v>
      </c>
      <c r="F137" s="981"/>
      <c r="G137" s="981"/>
      <c r="H137" s="981">
        <v>8</v>
      </c>
      <c r="I137" s="981">
        <v>25</v>
      </c>
      <c r="J137" s="981"/>
      <c r="K137" s="981">
        <v>0</v>
      </c>
      <c r="L137" s="981">
        <v>3</v>
      </c>
    </row>
    <row r="138" spans="1:12" x14ac:dyDescent="0.25">
      <c r="A138" s="981" t="s">
        <v>205</v>
      </c>
      <c r="B138" s="981" t="s">
        <v>251</v>
      </c>
      <c r="C138" s="981" t="s">
        <v>314</v>
      </c>
      <c r="D138" s="981" t="s">
        <v>37</v>
      </c>
      <c r="E138" s="981">
        <v>176</v>
      </c>
      <c r="F138" s="981"/>
      <c r="G138" s="981"/>
      <c r="H138" s="981">
        <v>26</v>
      </c>
      <c r="I138" s="981">
        <v>135</v>
      </c>
      <c r="J138" s="981"/>
      <c r="K138" s="981">
        <v>1</v>
      </c>
      <c r="L138" s="981">
        <v>14</v>
      </c>
    </row>
    <row r="139" spans="1:12" x14ac:dyDescent="0.25">
      <c r="A139" s="981" t="s">
        <v>205</v>
      </c>
      <c r="B139" s="981" t="s">
        <v>251</v>
      </c>
      <c r="C139" s="981" t="s">
        <v>315</v>
      </c>
      <c r="D139" s="981" t="s">
        <v>50</v>
      </c>
      <c r="E139" s="981">
        <v>180</v>
      </c>
      <c r="F139" s="981"/>
      <c r="G139" s="981"/>
      <c r="H139" s="981">
        <v>28</v>
      </c>
      <c r="I139" s="981">
        <v>136</v>
      </c>
      <c r="J139" s="981"/>
      <c r="K139" s="981">
        <v>0</v>
      </c>
      <c r="L139" s="981">
        <v>16</v>
      </c>
    </row>
    <row r="140" spans="1:12" x14ac:dyDescent="0.25">
      <c r="A140" s="981" t="s">
        <v>205</v>
      </c>
      <c r="B140" s="981" t="s">
        <v>251</v>
      </c>
      <c r="C140" s="981" t="s">
        <v>316</v>
      </c>
      <c r="D140" s="981" t="s">
        <v>39</v>
      </c>
      <c r="E140" s="981">
        <v>70</v>
      </c>
      <c r="F140" s="981"/>
      <c r="G140" s="981"/>
      <c r="H140" s="981">
        <v>9</v>
      </c>
      <c r="I140" s="981">
        <v>46</v>
      </c>
      <c r="J140" s="981"/>
      <c r="K140" s="981">
        <v>0</v>
      </c>
      <c r="L140" s="981">
        <v>15</v>
      </c>
    </row>
    <row r="141" spans="1:12" x14ac:dyDescent="0.25">
      <c r="A141" s="981" t="s">
        <v>205</v>
      </c>
      <c r="B141" s="981" t="s">
        <v>251</v>
      </c>
      <c r="C141" s="981" t="s">
        <v>317</v>
      </c>
      <c r="D141" s="981" t="s">
        <v>124</v>
      </c>
      <c r="E141" s="981">
        <v>499</v>
      </c>
      <c r="F141" s="981"/>
      <c r="G141" s="981"/>
      <c r="H141" s="981">
        <v>99</v>
      </c>
      <c r="I141" s="981">
        <v>350</v>
      </c>
      <c r="J141" s="981"/>
      <c r="K141" s="981">
        <v>0</v>
      </c>
      <c r="L141" s="981">
        <v>50</v>
      </c>
    </row>
    <row r="142" spans="1:12" x14ac:dyDescent="0.25">
      <c r="A142" s="981" t="s">
        <v>205</v>
      </c>
      <c r="B142" s="981" t="s">
        <v>251</v>
      </c>
      <c r="C142" s="981" t="s">
        <v>318</v>
      </c>
      <c r="D142" s="981" t="s">
        <v>43</v>
      </c>
      <c r="E142" s="981">
        <v>278</v>
      </c>
      <c r="F142" s="981"/>
      <c r="G142" s="981"/>
      <c r="H142" s="981">
        <v>47</v>
      </c>
      <c r="I142" s="981">
        <v>211</v>
      </c>
      <c r="J142" s="981"/>
      <c r="K142" s="981">
        <v>0</v>
      </c>
      <c r="L142" s="981">
        <v>20</v>
      </c>
    </row>
    <row r="143" spans="1:12" x14ac:dyDescent="0.25">
      <c r="A143" s="981" t="s">
        <v>205</v>
      </c>
      <c r="B143" s="981" t="s">
        <v>252</v>
      </c>
      <c r="C143" s="981" t="s">
        <v>374</v>
      </c>
      <c r="D143" s="981" t="s">
        <v>31</v>
      </c>
      <c r="E143" s="981">
        <v>16</v>
      </c>
      <c r="F143" s="981">
        <v>1</v>
      </c>
      <c r="G143" s="981"/>
      <c r="H143" s="981">
        <v>0</v>
      </c>
      <c r="I143" s="981">
        <v>3</v>
      </c>
      <c r="J143" s="981">
        <v>3</v>
      </c>
      <c r="K143" s="981">
        <v>2</v>
      </c>
      <c r="L143" s="981">
        <v>7</v>
      </c>
    </row>
    <row r="144" spans="1:12" x14ac:dyDescent="0.25">
      <c r="A144" s="981" t="s">
        <v>205</v>
      </c>
      <c r="B144" s="981" t="s">
        <v>252</v>
      </c>
      <c r="C144" s="981" t="s">
        <v>375</v>
      </c>
      <c r="D144" s="981" t="s">
        <v>64</v>
      </c>
      <c r="E144" s="981">
        <v>27</v>
      </c>
      <c r="F144" s="981">
        <v>1</v>
      </c>
      <c r="G144" s="981"/>
      <c r="H144" s="981">
        <v>7</v>
      </c>
      <c r="I144" s="981">
        <v>1</v>
      </c>
      <c r="J144" s="981">
        <v>2</v>
      </c>
      <c r="K144" s="981">
        <v>6</v>
      </c>
      <c r="L144" s="981">
        <v>10</v>
      </c>
    </row>
    <row r="145" spans="1:12" x14ac:dyDescent="0.25">
      <c r="A145" s="981" t="s">
        <v>205</v>
      </c>
      <c r="B145" s="981" t="s">
        <v>252</v>
      </c>
      <c r="C145" s="981" t="s">
        <v>377</v>
      </c>
      <c r="D145" s="981" t="s">
        <v>65</v>
      </c>
      <c r="E145" s="981">
        <v>25</v>
      </c>
      <c r="F145" s="981">
        <v>1</v>
      </c>
      <c r="G145" s="981"/>
      <c r="H145" s="981">
        <v>2</v>
      </c>
      <c r="I145" s="981">
        <v>4</v>
      </c>
      <c r="J145" s="981">
        <v>5</v>
      </c>
      <c r="K145" s="981">
        <v>7</v>
      </c>
      <c r="L145" s="981">
        <v>6</v>
      </c>
    </row>
    <row r="146" spans="1:12" x14ac:dyDescent="0.25">
      <c r="A146" s="981" t="s">
        <v>205</v>
      </c>
      <c r="B146" s="981" t="s">
        <v>252</v>
      </c>
      <c r="C146" s="981" t="s">
        <v>378</v>
      </c>
      <c r="D146" s="981" t="s">
        <v>36</v>
      </c>
      <c r="E146" s="981">
        <v>19</v>
      </c>
      <c r="F146" s="981">
        <v>0</v>
      </c>
      <c r="G146" s="981"/>
      <c r="H146" s="981">
        <v>0</v>
      </c>
      <c r="I146" s="981">
        <v>2</v>
      </c>
      <c r="J146" s="981">
        <v>2</v>
      </c>
      <c r="K146" s="981">
        <v>5</v>
      </c>
      <c r="L146" s="981">
        <v>10</v>
      </c>
    </row>
    <row r="147" spans="1:12" x14ac:dyDescent="0.25">
      <c r="A147" s="981" t="s">
        <v>205</v>
      </c>
      <c r="B147" s="981" t="s">
        <v>252</v>
      </c>
      <c r="C147" s="981" t="s">
        <v>379</v>
      </c>
      <c r="D147" s="981" t="s">
        <v>68</v>
      </c>
      <c r="E147" s="981">
        <v>29</v>
      </c>
      <c r="F147" s="981">
        <v>1</v>
      </c>
      <c r="G147" s="981"/>
      <c r="H147" s="981">
        <v>4</v>
      </c>
      <c r="I147" s="981">
        <v>2</v>
      </c>
      <c r="J147" s="981">
        <v>6</v>
      </c>
      <c r="K147" s="981">
        <v>7</v>
      </c>
      <c r="L147" s="981">
        <v>9</v>
      </c>
    </row>
    <row r="148" spans="1:12" x14ac:dyDescent="0.25">
      <c r="A148" s="981" t="s">
        <v>205</v>
      </c>
      <c r="B148" s="981" t="s">
        <v>252</v>
      </c>
      <c r="C148" s="981" t="s">
        <v>380</v>
      </c>
      <c r="D148" s="981" t="s">
        <v>69</v>
      </c>
      <c r="E148" s="981">
        <v>38</v>
      </c>
      <c r="F148" s="981">
        <v>1</v>
      </c>
      <c r="G148" s="981"/>
      <c r="H148" s="981">
        <v>10</v>
      </c>
      <c r="I148" s="981">
        <v>5</v>
      </c>
      <c r="J148" s="981">
        <v>5</v>
      </c>
      <c r="K148" s="981">
        <v>6</v>
      </c>
      <c r="L148" s="981">
        <v>11</v>
      </c>
    </row>
    <row r="149" spans="1:12" x14ac:dyDescent="0.25">
      <c r="A149" s="981" t="s">
        <v>205</v>
      </c>
      <c r="B149" s="981" t="s">
        <v>252</v>
      </c>
      <c r="C149" s="981" t="s">
        <v>381</v>
      </c>
      <c r="D149" s="981" t="s">
        <v>70</v>
      </c>
      <c r="E149" s="981">
        <v>17</v>
      </c>
      <c r="F149" s="981">
        <v>1</v>
      </c>
      <c r="G149" s="981"/>
      <c r="H149" s="981">
        <v>1</v>
      </c>
      <c r="I149" s="981">
        <v>3</v>
      </c>
      <c r="J149" s="981">
        <v>2</v>
      </c>
      <c r="K149" s="981">
        <v>3</v>
      </c>
      <c r="L149" s="981">
        <v>7</v>
      </c>
    </row>
    <row r="150" spans="1:12" x14ac:dyDescent="0.25">
      <c r="A150" s="981" t="s">
        <v>205</v>
      </c>
      <c r="B150" s="981" t="s">
        <v>252</v>
      </c>
      <c r="C150" s="981" t="s">
        <v>382</v>
      </c>
      <c r="D150" s="981" t="s">
        <v>178</v>
      </c>
      <c r="E150" s="981">
        <v>27</v>
      </c>
      <c r="F150" s="981">
        <v>0</v>
      </c>
      <c r="G150" s="981"/>
      <c r="H150" s="981">
        <v>5</v>
      </c>
      <c r="I150" s="981">
        <v>4</v>
      </c>
      <c r="J150" s="981">
        <v>7</v>
      </c>
      <c r="K150" s="981">
        <v>2</v>
      </c>
      <c r="L150" s="981">
        <v>9</v>
      </c>
    </row>
    <row r="151" spans="1:12" x14ac:dyDescent="0.25">
      <c r="A151" s="981" t="s">
        <v>205</v>
      </c>
      <c r="B151" s="981" t="s">
        <v>252</v>
      </c>
      <c r="C151" s="981" t="s">
        <v>383</v>
      </c>
      <c r="D151" s="981" t="s">
        <v>71</v>
      </c>
      <c r="E151" s="981">
        <v>16</v>
      </c>
      <c r="F151" s="981">
        <v>1</v>
      </c>
      <c r="G151" s="981"/>
      <c r="H151" s="981">
        <v>1</v>
      </c>
      <c r="I151" s="981">
        <v>2</v>
      </c>
      <c r="J151" s="981">
        <v>2</v>
      </c>
      <c r="K151" s="981">
        <v>3</v>
      </c>
      <c r="L151" s="981">
        <v>7</v>
      </c>
    </row>
    <row r="152" spans="1:12" x14ac:dyDescent="0.25">
      <c r="A152" s="981" t="s">
        <v>205</v>
      </c>
      <c r="B152" s="981" t="s">
        <v>252</v>
      </c>
      <c r="C152" s="981" t="s">
        <v>385</v>
      </c>
      <c r="D152" s="981" t="s">
        <v>124</v>
      </c>
      <c r="E152" s="981">
        <v>32</v>
      </c>
      <c r="F152" s="981">
        <v>1</v>
      </c>
      <c r="G152" s="981"/>
      <c r="H152" s="981">
        <v>1</v>
      </c>
      <c r="I152" s="981">
        <v>2</v>
      </c>
      <c r="J152" s="981">
        <v>5</v>
      </c>
      <c r="K152" s="981">
        <v>8</v>
      </c>
      <c r="L152" s="981">
        <v>15</v>
      </c>
    </row>
    <row r="153" spans="1:12" x14ac:dyDescent="0.25">
      <c r="A153" s="981" t="s">
        <v>205</v>
      </c>
      <c r="B153" s="981" t="s">
        <v>252</v>
      </c>
      <c r="C153" s="981" t="s">
        <v>386</v>
      </c>
      <c r="D153" s="981" t="s">
        <v>72</v>
      </c>
      <c r="E153" s="981">
        <v>29</v>
      </c>
      <c r="F153" s="981">
        <v>1</v>
      </c>
      <c r="G153" s="981"/>
      <c r="H153" s="981">
        <v>7</v>
      </c>
      <c r="I153" s="981">
        <v>0</v>
      </c>
      <c r="J153" s="981">
        <v>6</v>
      </c>
      <c r="K153" s="981">
        <v>8</v>
      </c>
      <c r="L153" s="981">
        <v>7</v>
      </c>
    </row>
    <row r="154" spans="1:12" x14ac:dyDescent="0.25">
      <c r="A154" s="981" t="s">
        <v>205</v>
      </c>
      <c r="B154" s="981" t="s">
        <v>252</v>
      </c>
      <c r="C154" s="981" t="s">
        <v>387</v>
      </c>
      <c r="D154" s="981" t="s">
        <v>50</v>
      </c>
      <c r="E154" s="981">
        <v>20</v>
      </c>
      <c r="F154" s="981">
        <v>1</v>
      </c>
      <c r="G154" s="981"/>
      <c r="H154" s="981">
        <v>3</v>
      </c>
      <c r="I154" s="981">
        <v>0</v>
      </c>
      <c r="J154" s="981">
        <v>3</v>
      </c>
      <c r="K154" s="981">
        <v>4</v>
      </c>
      <c r="L154" s="981">
        <v>9</v>
      </c>
    </row>
    <row r="155" spans="1:12" x14ac:dyDescent="0.25">
      <c r="A155" s="981" t="s">
        <v>205</v>
      </c>
      <c r="B155" s="981" t="s">
        <v>252</v>
      </c>
      <c r="C155" s="981" t="s">
        <v>388</v>
      </c>
      <c r="D155" s="981" t="s">
        <v>57</v>
      </c>
      <c r="E155" s="981">
        <v>16</v>
      </c>
      <c r="F155" s="981">
        <v>1</v>
      </c>
      <c r="G155" s="981"/>
      <c r="H155" s="981">
        <v>3</v>
      </c>
      <c r="I155" s="981">
        <v>1</v>
      </c>
      <c r="J155" s="981">
        <v>3</v>
      </c>
      <c r="K155" s="981">
        <v>5</v>
      </c>
      <c r="L155" s="981">
        <v>3</v>
      </c>
    </row>
    <row r="156" spans="1:12" x14ac:dyDescent="0.25">
      <c r="A156" s="981" t="s">
        <v>205</v>
      </c>
      <c r="B156" s="981" t="s">
        <v>252</v>
      </c>
      <c r="C156" s="981" t="s">
        <v>389</v>
      </c>
      <c r="D156" s="981" t="s">
        <v>73</v>
      </c>
      <c r="E156" s="981">
        <v>13</v>
      </c>
      <c r="F156" s="981">
        <v>0</v>
      </c>
      <c r="G156" s="981"/>
      <c r="H156" s="981">
        <v>2</v>
      </c>
      <c r="I156" s="981">
        <v>1</v>
      </c>
      <c r="J156" s="981">
        <v>2</v>
      </c>
      <c r="K156" s="981">
        <v>5</v>
      </c>
      <c r="L156" s="981">
        <v>3</v>
      </c>
    </row>
    <row r="157" spans="1:12" x14ac:dyDescent="0.25">
      <c r="A157" s="981" t="s">
        <v>205</v>
      </c>
      <c r="B157" s="981" t="s">
        <v>252</v>
      </c>
      <c r="C157" s="981" t="s">
        <v>390</v>
      </c>
      <c r="D157" s="981" t="s">
        <v>74</v>
      </c>
      <c r="E157" s="981">
        <v>11</v>
      </c>
      <c r="F157" s="981">
        <v>1</v>
      </c>
      <c r="G157" s="981"/>
      <c r="H157" s="981">
        <v>1</v>
      </c>
      <c r="I157" s="981">
        <v>0</v>
      </c>
      <c r="J157" s="981">
        <v>3</v>
      </c>
      <c r="K157" s="981">
        <v>5</v>
      </c>
      <c r="L157" s="981">
        <v>1</v>
      </c>
    </row>
    <row r="158" spans="1:12" x14ac:dyDescent="0.25">
      <c r="A158" s="981" t="s">
        <v>205</v>
      </c>
      <c r="B158" s="981" t="s">
        <v>252</v>
      </c>
      <c r="C158" s="981" t="s">
        <v>376</v>
      </c>
      <c r="D158" s="981" t="s">
        <v>67</v>
      </c>
      <c r="E158" s="981">
        <v>24</v>
      </c>
      <c r="F158" s="981">
        <v>1</v>
      </c>
      <c r="G158" s="981"/>
      <c r="H158" s="981">
        <v>0</v>
      </c>
      <c r="I158" s="981">
        <v>1</v>
      </c>
      <c r="J158" s="981">
        <v>4</v>
      </c>
      <c r="K158" s="981">
        <v>10</v>
      </c>
      <c r="L158" s="981">
        <v>8</v>
      </c>
    </row>
    <row r="159" spans="1:12" x14ac:dyDescent="0.25">
      <c r="A159" s="981" t="s">
        <v>205</v>
      </c>
      <c r="B159" s="981" t="s">
        <v>252</v>
      </c>
      <c r="C159" s="981" t="s">
        <v>384</v>
      </c>
      <c r="D159" s="981" t="s">
        <v>43</v>
      </c>
      <c r="E159" s="981">
        <v>26</v>
      </c>
      <c r="F159" s="981">
        <v>1</v>
      </c>
      <c r="G159" s="981"/>
      <c r="H159" s="981">
        <v>3</v>
      </c>
      <c r="I159" s="981">
        <v>4</v>
      </c>
      <c r="J159" s="981">
        <v>2</v>
      </c>
      <c r="K159" s="981">
        <v>5</v>
      </c>
      <c r="L159" s="981">
        <v>11</v>
      </c>
    </row>
    <row r="160" spans="1:12" x14ac:dyDescent="0.25">
      <c r="A160" s="981" t="s">
        <v>205</v>
      </c>
      <c r="B160" s="981" t="s">
        <v>253</v>
      </c>
      <c r="C160" s="981" t="s">
        <v>412</v>
      </c>
      <c r="D160" s="981" t="s">
        <v>176</v>
      </c>
      <c r="E160" s="981">
        <v>16</v>
      </c>
      <c r="F160" s="981">
        <v>1</v>
      </c>
      <c r="G160" s="981"/>
      <c r="H160" s="981">
        <v>3</v>
      </c>
      <c r="I160" s="981"/>
      <c r="J160" s="981">
        <v>5</v>
      </c>
      <c r="K160" s="981">
        <v>3</v>
      </c>
      <c r="L160" s="981">
        <v>4</v>
      </c>
    </row>
    <row r="161" spans="1:12" x14ac:dyDescent="0.25">
      <c r="A161" s="981" t="s">
        <v>205</v>
      </c>
      <c r="B161" s="981" t="s">
        <v>253</v>
      </c>
      <c r="C161" s="981" t="s">
        <v>411</v>
      </c>
      <c r="D161" s="981" t="s">
        <v>177</v>
      </c>
      <c r="E161" s="981">
        <v>25</v>
      </c>
      <c r="F161" s="981">
        <v>1</v>
      </c>
      <c r="G161" s="981"/>
      <c r="H161" s="981">
        <v>2</v>
      </c>
      <c r="I161" s="981"/>
      <c r="J161" s="981">
        <v>2</v>
      </c>
      <c r="K161" s="981">
        <v>3</v>
      </c>
      <c r="L161" s="981">
        <v>17</v>
      </c>
    </row>
    <row r="162" spans="1:12" x14ac:dyDescent="0.25">
      <c r="A162" s="981" t="s">
        <v>205</v>
      </c>
      <c r="B162" s="981" t="s">
        <v>253</v>
      </c>
      <c r="C162" s="981" t="s">
        <v>413</v>
      </c>
      <c r="D162" s="981" t="s">
        <v>175</v>
      </c>
      <c r="E162" s="981">
        <v>44</v>
      </c>
      <c r="F162" s="981">
        <v>1</v>
      </c>
      <c r="G162" s="981"/>
      <c r="H162" s="981">
        <v>8</v>
      </c>
      <c r="I162" s="981"/>
      <c r="J162" s="981">
        <v>2</v>
      </c>
      <c r="K162" s="981">
        <v>8</v>
      </c>
      <c r="L162" s="981">
        <v>25</v>
      </c>
    </row>
    <row r="163" spans="1:12" x14ac:dyDescent="0.25">
      <c r="A163" s="981" t="s">
        <v>205</v>
      </c>
      <c r="B163" s="981" t="s">
        <v>254</v>
      </c>
      <c r="C163" s="981" t="s">
        <v>391</v>
      </c>
      <c r="D163" s="981" t="s">
        <v>263</v>
      </c>
      <c r="E163" s="981">
        <v>195</v>
      </c>
      <c r="F163" s="981">
        <v>18</v>
      </c>
      <c r="G163" s="981">
        <v>4</v>
      </c>
      <c r="H163" s="981">
        <v>26</v>
      </c>
      <c r="I163" s="981">
        <v>16</v>
      </c>
      <c r="J163" s="981">
        <v>19</v>
      </c>
      <c r="K163" s="981">
        <v>19</v>
      </c>
      <c r="L163" s="981">
        <v>93</v>
      </c>
    </row>
    <row r="164" spans="1:12" x14ac:dyDescent="0.25">
      <c r="A164" s="981" t="s">
        <v>278</v>
      </c>
      <c r="B164" s="981" t="s">
        <v>251</v>
      </c>
      <c r="C164" s="981" t="s">
        <v>287</v>
      </c>
      <c r="D164" s="981" t="s">
        <v>35</v>
      </c>
      <c r="E164" s="981">
        <v>22</v>
      </c>
      <c r="F164" s="981"/>
      <c r="G164" s="981"/>
      <c r="H164" s="981">
        <v>4</v>
      </c>
      <c r="I164" s="981">
        <v>14</v>
      </c>
      <c r="J164" s="981"/>
      <c r="K164" s="981"/>
      <c r="L164" s="981">
        <v>4</v>
      </c>
    </row>
    <row r="165" spans="1:12" x14ac:dyDescent="0.25">
      <c r="A165" s="981" t="s">
        <v>278</v>
      </c>
      <c r="B165" s="981" t="s">
        <v>251</v>
      </c>
      <c r="C165" s="981" t="s">
        <v>288</v>
      </c>
      <c r="D165" s="981" t="s">
        <v>36</v>
      </c>
      <c r="E165" s="981">
        <v>63</v>
      </c>
      <c r="F165" s="981"/>
      <c r="G165" s="981"/>
      <c r="H165" s="981">
        <v>11</v>
      </c>
      <c r="I165" s="981">
        <v>48</v>
      </c>
      <c r="J165" s="981"/>
      <c r="K165" s="981"/>
      <c r="L165" s="981">
        <v>4</v>
      </c>
    </row>
    <row r="166" spans="1:12" x14ac:dyDescent="0.25">
      <c r="A166" s="981" t="s">
        <v>278</v>
      </c>
      <c r="B166" s="981" t="s">
        <v>251</v>
      </c>
      <c r="C166" s="981" t="s">
        <v>289</v>
      </c>
      <c r="D166" s="981" t="s">
        <v>38</v>
      </c>
      <c r="E166" s="981">
        <v>46</v>
      </c>
      <c r="F166" s="981"/>
      <c r="G166" s="981"/>
      <c r="H166" s="981">
        <v>9</v>
      </c>
      <c r="I166" s="981">
        <v>32</v>
      </c>
      <c r="J166" s="981"/>
      <c r="K166" s="981"/>
      <c r="L166" s="981">
        <v>5</v>
      </c>
    </row>
    <row r="167" spans="1:12" x14ac:dyDescent="0.25">
      <c r="A167" s="981" t="s">
        <v>278</v>
      </c>
      <c r="B167" s="981" t="s">
        <v>251</v>
      </c>
      <c r="C167" s="981" t="s">
        <v>290</v>
      </c>
      <c r="D167" s="981" t="s">
        <v>40</v>
      </c>
      <c r="E167" s="981">
        <v>27</v>
      </c>
      <c r="F167" s="981"/>
      <c r="G167" s="981"/>
      <c r="H167" s="981">
        <v>4</v>
      </c>
      <c r="I167" s="981">
        <v>19</v>
      </c>
      <c r="J167" s="981"/>
      <c r="K167" s="981"/>
      <c r="L167" s="981">
        <v>4</v>
      </c>
    </row>
    <row r="168" spans="1:12" x14ac:dyDescent="0.25">
      <c r="A168" s="981" t="s">
        <v>278</v>
      </c>
      <c r="B168" s="981" t="s">
        <v>251</v>
      </c>
      <c r="C168" s="981" t="s">
        <v>291</v>
      </c>
      <c r="D168" s="981" t="s">
        <v>41</v>
      </c>
      <c r="E168" s="981">
        <v>50</v>
      </c>
      <c r="F168" s="981"/>
      <c r="G168" s="981"/>
      <c r="H168" s="981">
        <v>10</v>
      </c>
      <c r="I168" s="981">
        <v>30</v>
      </c>
      <c r="J168" s="981"/>
      <c r="K168" s="981"/>
      <c r="L168" s="981">
        <v>10</v>
      </c>
    </row>
    <row r="169" spans="1:12" x14ac:dyDescent="0.25">
      <c r="A169" s="981" t="s">
        <v>278</v>
      </c>
      <c r="B169" s="981" t="s">
        <v>251</v>
      </c>
      <c r="C169" s="981" t="s">
        <v>292</v>
      </c>
      <c r="D169" s="981" t="s">
        <v>48</v>
      </c>
      <c r="E169" s="981">
        <v>0</v>
      </c>
      <c r="F169" s="981"/>
      <c r="G169" s="981"/>
      <c r="H169" s="981">
        <v>0</v>
      </c>
      <c r="I169" s="981">
        <v>0</v>
      </c>
      <c r="J169" s="981"/>
      <c r="K169" s="981"/>
      <c r="L169" s="981">
        <v>0</v>
      </c>
    </row>
    <row r="170" spans="1:12" x14ac:dyDescent="0.25">
      <c r="A170" s="981" t="s">
        <v>278</v>
      </c>
      <c r="B170" s="981" t="s">
        <v>251</v>
      </c>
      <c r="C170" s="981" t="s">
        <v>293</v>
      </c>
      <c r="D170" s="981" t="s">
        <v>42</v>
      </c>
      <c r="E170" s="981">
        <v>86</v>
      </c>
      <c r="F170" s="981"/>
      <c r="G170" s="981"/>
      <c r="H170" s="981">
        <v>16</v>
      </c>
      <c r="I170" s="981">
        <v>57</v>
      </c>
      <c r="J170" s="981"/>
      <c r="K170" s="981"/>
      <c r="L170" s="981">
        <v>13</v>
      </c>
    </row>
    <row r="171" spans="1:12" x14ac:dyDescent="0.25">
      <c r="A171" s="981" t="s">
        <v>278</v>
      </c>
      <c r="B171" s="981" t="s">
        <v>251</v>
      </c>
      <c r="C171" s="981" t="s">
        <v>294</v>
      </c>
      <c r="D171" s="981" t="s">
        <v>44</v>
      </c>
      <c r="E171" s="981">
        <v>67</v>
      </c>
      <c r="F171" s="981"/>
      <c r="G171" s="981"/>
      <c r="H171" s="981">
        <v>11</v>
      </c>
      <c r="I171" s="981">
        <v>52</v>
      </c>
      <c r="J171" s="981"/>
      <c r="K171" s="981"/>
      <c r="L171" s="981">
        <v>4</v>
      </c>
    </row>
    <row r="172" spans="1:12" x14ac:dyDescent="0.25">
      <c r="A172" s="981" t="s">
        <v>278</v>
      </c>
      <c r="B172" s="981" t="s">
        <v>251</v>
      </c>
      <c r="C172" s="981" t="s">
        <v>295</v>
      </c>
      <c r="D172" s="981" t="s">
        <v>45</v>
      </c>
      <c r="E172" s="981">
        <v>67</v>
      </c>
      <c r="F172" s="981"/>
      <c r="G172" s="981"/>
      <c r="H172" s="981">
        <v>13</v>
      </c>
      <c r="I172" s="981">
        <v>43</v>
      </c>
      <c r="J172" s="981"/>
      <c r="K172" s="981">
        <v>1</v>
      </c>
      <c r="L172" s="981">
        <v>11</v>
      </c>
    </row>
    <row r="173" spans="1:12" x14ac:dyDescent="0.25">
      <c r="A173" s="981" t="s">
        <v>278</v>
      </c>
      <c r="B173" s="981" t="s">
        <v>251</v>
      </c>
      <c r="C173" s="981" t="s">
        <v>296</v>
      </c>
      <c r="D173" s="981" t="s">
        <v>46</v>
      </c>
      <c r="E173" s="981">
        <v>22</v>
      </c>
      <c r="F173" s="981"/>
      <c r="G173" s="981"/>
      <c r="H173" s="981">
        <v>4</v>
      </c>
      <c r="I173" s="981">
        <v>14</v>
      </c>
      <c r="J173" s="981"/>
      <c r="K173" s="981"/>
      <c r="L173" s="981">
        <v>4</v>
      </c>
    </row>
    <row r="174" spans="1:12" x14ac:dyDescent="0.25">
      <c r="A174" s="981" t="s">
        <v>278</v>
      </c>
      <c r="B174" s="981" t="s">
        <v>251</v>
      </c>
      <c r="C174" s="981" t="s">
        <v>297</v>
      </c>
      <c r="D174" s="981" t="s">
        <v>47</v>
      </c>
      <c r="E174" s="981">
        <v>27</v>
      </c>
      <c r="F174" s="981"/>
      <c r="G174" s="981"/>
      <c r="H174" s="981">
        <v>4</v>
      </c>
      <c r="I174" s="981">
        <v>19</v>
      </c>
      <c r="J174" s="981"/>
      <c r="K174" s="981"/>
      <c r="L174" s="981">
        <v>4</v>
      </c>
    </row>
    <row r="175" spans="1:12" x14ac:dyDescent="0.25">
      <c r="A175" s="981" t="s">
        <v>278</v>
      </c>
      <c r="B175" s="981" t="s">
        <v>251</v>
      </c>
      <c r="C175" s="981" t="s">
        <v>298</v>
      </c>
      <c r="D175" s="981" t="s">
        <v>49</v>
      </c>
      <c r="E175" s="981">
        <v>78</v>
      </c>
      <c r="F175" s="981"/>
      <c r="G175" s="981"/>
      <c r="H175" s="981">
        <v>17</v>
      </c>
      <c r="I175" s="981">
        <v>46</v>
      </c>
      <c r="J175" s="981"/>
      <c r="K175" s="981"/>
      <c r="L175" s="981">
        <v>15</v>
      </c>
    </row>
    <row r="176" spans="1:12" x14ac:dyDescent="0.25">
      <c r="A176" s="981" t="s">
        <v>278</v>
      </c>
      <c r="B176" s="981" t="s">
        <v>251</v>
      </c>
      <c r="C176" s="981" t="s">
        <v>299</v>
      </c>
      <c r="D176" s="981" t="s">
        <v>51</v>
      </c>
      <c r="E176" s="981">
        <v>0</v>
      </c>
      <c r="F176" s="981"/>
      <c r="G176" s="981"/>
      <c r="H176" s="981">
        <v>0</v>
      </c>
      <c r="I176" s="981">
        <v>0</v>
      </c>
      <c r="J176" s="981"/>
      <c r="K176" s="981"/>
      <c r="L176" s="981">
        <v>0</v>
      </c>
    </row>
    <row r="177" spans="1:12" x14ac:dyDescent="0.25">
      <c r="A177" s="981" t="s">
        <v>278</v>
      </c>
      <c r="B177" s="981" t="s">
        <v>251</v>
      </c>
      <c r="C177" s="981" t="s">
        <v>300</v>
      </c>
      <c r="D177" s="981" t="s">
        <v>52</v>
      </c>
      <c r="E177" s="981">
        <v>68</v>
      </c>
      <c r="F177" s="981"/>
      <c r="G177" s="981"/>
      <c r="H177" s="981">
        <v>12</v>
      </c>
      <c r="I177" s="981">
        <v>52</v>
      </c>
      <c r="J177" s="981"/>
      <c r="K177" s="981"/>
      <c r="L177" s="981">
        <v>4</v>
      </c>
    </row>
    <row r="178" spans="1:12" x14ac:dyDescent="0.25">
      <c r="A178" s="981" t="s">
        <v>278</v>
      </c>
      <c r="B178" s="981" t="s">
        <v>251</v>
      </c>
      <c r="C178" s="981" t="s">
        <v>301</v>
      </c>
      <c r="D178" s="981" t="s">
        <v>54</v>
      </c>
      <c r="E178" s="981">
        <v>56</v>
      </c>
      <c r="F178" s="981"/>
      <c r="G178" s="981"/>
      <c r="H178" s="981">
        <v>8</v>
      </c>
      <c r="I178" s="981">
        <v>40</v>
      </c>
      <c r="J178" s="981"/>
      <c r="K178" s="981"/>
      <c r="L178" s="981">
        <v>8</v>
      </c>
    </row>
    <row r="179" spans="1:12" x14ac:dyDescent="0.25">
      <c r="A179" s="981" t="s">
        <v>278</v>
      </c>
      <c r="B179" s="981" t="s">
        <v>251</v>
      </c>
      <c r="C179" s="981" t="s">
        <v>302</v>
      </c>
      <c r="D179" s="981" t="s">
        <v>55</v>
      </c>
      <c r="E179" s="981">
        <v>0</v>
      </c>
      <c r="F179" s="981"/>
      <c r="G179" s="981"/>
      <c r="H179" s="981">
        <v>0</v>
      </c>
      <c r="I179" s="981">
        <v>0</v>
      </c>
      <c r="J179" s="981"/>
      <c r="K179" s="981"/>
      <c r="L179" s="981">
        <v>0</v>
      </c>
    </row>
    <row r="180" spans="1:12" x14ac:dyDescent="0.25">
      <c r="A180" s="981" t="s">
        <v>278</v>
      </c>
      <c r="B180" s="981" t="s">
        <v>251</v>
      </c>
      <c r="C180" s="981" t="s">
        <v>303</v>
      </c>
      <c r="D180" s="981" t="s">
        <v>56</v>
      </c>
      <c r="E180" s="981">
        <v>54</v>
      </c>
      <c r="F180" s="981"/>
      <c r="G180" s="981"/>
      <c r="H180" s="981">
        <v>10</v>
      </c>
      <c r="I180" s="981">
        <v>39</v>
      </c>
      <c r="J180" s="981"/>
      <c r="K180" s="981"/>
      <c r="L180" s="981">
        <v>5</v>
      </c>
    </row>
    <row r="181" spans="1:12" x14ac:dyDescent="0.25">
      <c r="A181" s="981" t="s">
        <v>278</v>
      </c>
      <c r="B181" s="981" t="s">
        <v>251</v>
      </c>
      <c r="C181" s="981" t="s">
        <v>304</v>
      </c>
      <c r="D181" s="981" t="s">
        <v>57</v>
      </c>
      <c r="E181" s="981">
        <v>171</v>
      </c>
      <c r="F181" s="981"/>
      <c r="G181" s="981"/>
      <c r="H181" s="981">
        <v>34</v>
      </c>
      <c r="I181" s="981">
        <v>117</v>
      </c>
      <c r="J181" s="981"/>
      <c r="K181" s="981"/>
      <c r="L181" s="981">
        <v>20</v>
      </c>
    </row>
    <row r="182" spans="1:12" x14ac:dyDescent="0.25">
      <c r="A182" s="981" t="s">
        <v>278</v>
      </c>
      <c r="B182" s="981" t="s">
        <v>251</v>
      </c>
      <c r="C182" s="981" t="s">
        <v>305</v>
      </c>
      <c r="D182" s="981" t="s">
        <v>58</v>
      </c>
      <c r="E182" s="981">
        <v>53</v>
      </c>
      <c r="F182" s="981"/>
      <c r="G182" s="981"/>
      <c r="H182" s="981">
        <v>9</v>
      </c>
      <c r="I182" s="981">
        <v>40</v>
      </c>
      <c r="J182" s="981"/>
      <c r="K182" s="981"/>
      <c r="L182" s="981">
        <v>4</v>
      </c>
    </row>
    <row r="183" spans="1:12" x14ac:dyDescent="0.25">
      <c r="A183" s="981" t="s">
        <v>278</v>
      </c>
      <c r="B183" s="981" t="s">
        <v>251</v>
      </c>
      <c r="C183" s="981" t="s">
        <v>306</v>
      </c>
      <c r="D183" s="981" t="s">
        <v>31</v>
      </c>
      <c r="E183" s="981">
        <v>155</v>
      </c>
      <c r="F183" s="981"/>
      <c r="G183" s="981"/>
      <c r="H183" s="981">
        <v>26</v>
      </c>
      <c r="I183" s="981">
        <v>113</v>
      </c>
      <c r="J183" s="981"/>
      <c r="K183" s="981"/>
      <c r="L183" s="981">
        <v>16</v>
      </c>
    </row>
    <row r="184" spans="1:12" x14ac:dyDescent="0.25">
      <c r="A184" s="981" t="s">
        <v>278</v>
      </c>
      <c r="B184" s="981" t="s">
        <v>251</v>
      </c>
      <c r="C184" s="981" t="s">
        <v>307</v>
      </c>
      <c r="D184" s="981" t="s">
        <v>32</v>
      </c>
      <c r="E184" s="981">
        <v>25</v>
      </c>
      <c r="F184" s="981"/>
      <c r="G184" s="981"/>
      <c r="H184" s="981">
        <v>4</v>
      </c>
      <c r="I184" s="981">
        <v>17</v>
      </c>
      <c r="J184" s="981"/>
      <c r="K184" s="981"/>
      <c r="L184" s="981">
        <v>4</v>
      </c>
    </row>
    <row r="185" spans="1:12" x14ac:dyDescent="0.25">
      <c r="A185" s="981" t="s">
        <v>278</v>
      </c>
      <c r="B185" s="981" t="s">
        <v>251</v>
      </c>
      <c r="C185" s="981" t="s">
        <v>308</v>
      </c>
      <c r="D185" s="981" t="s">
        <v>34</v>
      </c>
      <c r="E185" s="981">
        <v>43</v>
      </c>
      <c r="F185" s="981"/>
      <c r="G185" s="981"/>
      <c r="H185" s="981">
        <v>9</v>
      </c>
      <c r="I185" s="981">
        <v>24</v>
      </c>
      <c r="J185" s="981"/>
      <c r="K185" s="981"/>
      <c r="L185" s="981">
        <v>10</v>
      </c>
    </row>
    <row r="186" spans="1:12" x14ac:dyDescent="0.25">
      <c r="A186" s="981" t="s">
        <v>278</v>
      </c>
      <c r="B186" s="981" t="s">
        <v>251</v>
      </c>
      <c r="C186" s="981" t="s">
        <v>309</v>
      </c>
      <c r="D186" s="981" t="s">
        <v>262</v>
      </c>
      <c r="E186" s="981">
        <v>313</v>
      </c>
      <c r="F186" s="981"/>
      <c r="G186" s="981"/>
      <c r="H186" s="981">
        <v>60</v>
      </c>
      <c r="I186" s="981">
        <v>227</v>
      </c>
      <c r="J186" s="981"/>
      <c r="K186" s="981"/>
      <c r="L186" s="981">
        <v>26</v>
      </c>
    </row>
    <row r="187" spans="1:12" x14ac:dyDescent="0.25">
      <c r="A187" s="981" t="s">
        <v>278</v>
      </c>
      <c r="B187" s="981" t="s">
        <v>251</v>
      </c>
      <c r="C187" s="981" t="s">
        <v>310</v>
      </c>
      <c r="D187" s="981" t="s">
        <v>53</v>
      </c>
      <c r="E187" s="981">
        <v>97</v>
      </c>
      <c r="F187" s="981"/>
      <c r="G187" s="981"/>
      <c r="H187" s="981">
        <v>21</v>
      </c>
      <c r="I187" s="981">
        <v>60</v>
      </c>
      <c r="J187" s="981"/>
      <c r="K187" s="981"/>
      <c r="L187" s="981">
        <v>16</v>
      </c>
    </row>
    <row r="188" spans="1:12" x14ac:dyDescent="0.25">
      <c r="A188" s="981" t="s">
        <v>278</v>
      </c>
      <c r="B188" s="981" t="s">
        <v>251</v>
      </c>
      <c r="C188" s="981" t="s">
        <v>311</v>
      </c>
      <c r="D188" s="981" t="s">
        <v>59</v>
      </c>
      <c r="E188" s="981">
        <v>69</v>
      </c>
      <c r="F188" s="981"/>
      <c r="G188" s="981"/>
      <c r="H188" s="981">
        <v>15</v>
      </c>
      <c r="I188" s="981">
        <v>44</v>
      </c>
      <c r="J188" s="981"/>
      <c r="K188" s="981"/>
      <c r="L188" s="981">
        <v>10</v>
      </c>
    </row>
    <row r="189" spans="1:12" x14ac:dyDescent="0.25">
      <c r="A189" s="981" t="s">
        <v>278</v>
      </c>
      <c r="B189" s="981" t="s">
        <v>251</v>
      </c>
      <c r="C189" s="981" t="s">
        <v>312</v>
      </c>
      <c r="D189" s="981" t="s">
        <v>60</v>
      </c>
      <c r="E189" s="981">
        <v>60</v>
      </c>
      <c r="F189" s="981"/>
      <c r="G189" s="981"/>
      <c r="H189" s="981">
        <v>10</v>
      </c>
      <c r="I189" s="981">
        <v>42</v>
      </c>
      <c r="J189" s="981"/>
      <c r="K189" s="981"/>
      <c r="L189" s="981">
        <v>8</v>
      </c>
    </row>
    <row r="190" spans="1:12" x14ac:dyDescent="0.25">
      <c r="A190" s="981" t="s">
        <v>278</v>
      </c>
      <c r="B190" s="981" t="s">
        <v>251</v>
      </c>
      <c r="C190" s="981" t="s">
        <v>313</v>
      </c>
      <c r="D190" s="981" t="s">
        <v>33</v>
      </c>
      <c r="E190" s="981">
        <v>25</v>
      </c>
      <c r="F190" s="981"/>
      <c r="G190" s="981"/>
      <c r="H190" s="981">
        <v>4</v>
      </c>
      <c r="I190" s="981">
        <v>18</v>
      </c>
      <c r="J190" s="981"/>
      <c r="K190" s="981"/>
      <c r="L190" s="981">
        <v>3</v>
      </c>
    </row>
    <row r="191" spans="1:12" x14ac:dyDescent="0.25">
      <c r="A191" s="981" t="s">
        <v>278</v>
      </c>
      <c r="B191" s="981" t="s">
        <v>251</v>
      </c>
      <c r="C191" s="981" t="s">
        <v>314</v>
      </c>
      <c r="D191" s="981" t="s">
        <v>37</v>
      </c>
      <c r="E191" s="981">
        <v>192</v>
      </c>
      <c r="F191" s="981"/>
      <c r="G191" s="981"/>
      <c r="H191" s="981">
        <v>30</v>
      </c>
      <c r="I191" s="981">
        <v>144</v>
      </c>
      <c r="J191" s="981"/>
      <c r="K191" s="981"/>
      <c r="L191" s="981">
        <v>18</v>
      </c>
    </row>
    <row r="192" spans="1:12" x14ac:dyDescent="0.25">
      <c r="A192" s="981" t="s">
        <v>278</v>
      </c>
      <c r="B192" s="981" t="s">
        <v>251</v>
      </c>
      <c r="C192" s="981" t="s">
        <v>315</v>
      </c>
      <c r="D192" s="981" t="s">
        <v>50</v>
      </c>
      <c r="E192" s="981">
        <v>173</v>
      </c>
      <c r="F192" s="981"/>
      <c r="G192" s="981"/>
      <c r="H192" s="981">
        <v>30</v>
      </c>
      <c r="I192" s="981">
        <v>123</v>
      </c>
      <c r="J192" s="981"/>
      <c r="K192" s="981"/>
      <c r="L192" s="981">
        <v>20</v>
      </c>
    </row>
    <row r="193" spans="1:12" x14ac:dyDescent="0.25">
      <c r="A193" s="981" t="s">
        <v>278</v>
      </c>
      <c r="B193" s="981" t="s">
        <v>251</v>
      </c>
      <c r="C193" s="981" t="s">
        <v>316</v>
      </c>
      <c r="D193" s="981" t="s">
        <v>39</v>
      </c>
      <c r="E193" s="981">
        <v>68</v>
      </c>
      <c r="F193" s="981"/>
      <c r="G193" s="981"/>
      <c r="H193" s="981">
        <v>14</v>
      </c>
      <c r="I193" s="981">
        <v>39</v>
      </c>
      <c r="J193" s="981"/>
      <c r="K193" s="981"/>
      <c r="L193" s="981">
        <v>15</v>
      </c>
    </row>
    <row r="194" spans="1:12" x14ac:dyDescent="0.25">
      <c r="A194" s="981" t="s">
        <v>278</v>
      </c>
      <c r="B194" s="981" t="s">
        <v>251</v>
      </c>
      <c r="C194" s="981" t="s">
        <v>317</v>
      </c>
      <c r="D194" s="981" t="s">
        <v>124</v>
      </c>
      <c r="E194" s="981">
        <v>475</v>
      </c>
      <c r="F194" s="981"/>
      <c r="G194" s="981"/>
      <c r="H194" s="981">
        <v>105</v>
      </c>
      <c r="I194" s="981">
        <v>313</v>
      </c>
      <c r="J194" s="981"/>
      <c r="K194" s="981"/>
      <c r="L194" s="981">
        <v>57</v>
      </c>
    </row>
    <row r="195" spans="1:12" x14ac:dyDescent="0.25">
      <c r="A195" s="981" t="s">
        <v>278</v>
      </c>
      <c r="B195" s="981" t="s">
        <v>251</v>
      </c>
      <c r="C195" s="981" t="s">
        <v>318</v>
      </c>
      <c r="D195" s="981" t="s">
        <v>43</v>
      </c>
      <c r="E195" s="981">
        <v>270</v>
      </c>
      <c r="F195" s="981"/>
      <c r="G195" s="981"/>
      <c r="H195" s="981">
        <v>48</v>
      </c>
      <c r="I195" s="981">
        <v>201</v>
      </c>
      <c r="J195" s="981"/>
      <c r="K195" s="981"/>
      <c r="L195" s="981">
        <v>21</v>
      </c>
    </row>
    <row r="196" spans="1:12" x14ac:dyDescent="0.25">
      <c r="A196" s="981" t="s">
        <v>278</v>
      </c>
      <c r="B196" s="981" t="s">
        <v>252</v>
      </c>
      <c r="C196" s="981" t="s">
        <v>374</v>
      </c>
      <c r="D196" s="981" t="s">
        <v>31</v>
      </c>
      <c r="E196" s="981">
        <v>14</v>
      </c>
      <c r="F196" s="981">
        <v>1</v>
      </c>
      <c r="G196" s="981"/>
      <c r="H196" s="981">
        <v>2</v>
      </c>
      <c r="I196" s="981">
        <v>2</v>
      </c>
      <c r="J196" s="981">
        <v>1</v>
      </c>
      <c r="K196" s="981">
        <v>3</v>
      </c>
      <c r="L196" s="981">
        <v>5</v>
      </c>
    </row>
    <row r="197" spans="1:12" x14ac:dyDescent="0.25">
      <c r="A197" s="981" t="s">
        <v>278</v>
      </c>
      <c r="B197" s="981" t="s">
        <v>252</v>
      </c>
      <c r="C197" s="981" t="s">
        <v>375</v>
      </c>
      <c r="D197" s="981" t="s">
        <v>64</v>
      </c>
      <c r="E197" s="981">
        <v>25</v>
      </c>
      <c r="F197" s="981">
        <v>1</v>
      </c>
      <c r="G197" s="981"/>
      <c r="H197" s="981">
        <v>5</v>
      </c>
      <c r="I197" s="981">
        <v>0</v>
      </c>
      <c r="J197" s="981">
        <v>2</v>
      </c>
      <c r="K197" s="981">
        <v>8</v>
      </c>
      <c r="L197" s="981">
        <v>9</v>
      </c>
    </row>
    <row r="198" spans="1:12" x14ac:dyDescent="0.25">
      <c r="A198" s="981" t="s">
        <v>278</v>
      </c>
      <c r="B198" s="981" t="s">
        <v>252</v>
      </c>
      <c r="C198" s="981" t="s">
        <v>377</v>
      </c>
      <c r="D198" s="981" t="s">
        <v>65</v>
      </c>
      <c r="E198" s="981">
        <v>26</v>
      </c>
      <c r="F198" s="981">
        <v>1</v>
      </c>
      <c r="G198" s="981"/>
      <c r="H198" s="981">
        <v>4</v>
      </c>
      <c r="I198" s="981">
        <v>2</v>
      </c>
      <c r="J198" s="981">
        <v>3</v>
      </c>
      <c r="K198" s="981">
        <v>9</v>
      </c>
      <c r="L198" s="981">
        <v>7</v>
      </c>
    </row>
    <row r="199" spans="1:12" x14ac:dyDescent="0.25">
      <c r="A199" s="981" t="s">
        <v>278</v>
      </c>
      <c r="B199" s="981" t="s">
        <v>252</v>
      </c>
      <c r="C199" s="981" t="s">
        <v>378</v>
      </c>
      <c r="D199" s="981" t="s">
        <v>36</v>
      </c>
      <c r="E199" s="981">
        <v>22</v>
      </c>
      <c r="F199" s="981">
        <v>1</v>
      </c>
      <c r="G199" s="981"/>
      <c r="H199" s="981">
        <v>3</v>
      </c>
      <c r="I199" s="981">
        <v>1</v>
      </c>
      <c r="J199" s="981">
        <v>2</v>
      </c>
      <c r="K199" s="981">
        <v>6</v>
      </c>
      <c r="L199" s="981">
        <v>9</v>
      </c>
    </row>
    <row r="200" spans="1:12" x14ac:dyDescent="0.25">
      <c r="A200" s="981" t="s">
        <v>278</v>
      </c>
      <c r="B200" s="981" t="s">
        <v>252</v>
      </c>
      <c r="C200" s="981" t="s">
        <v>379</v>
      </c>
      <c r="D200" s="981" t="s">
        <v>68</v>
      </c>
      <c r="E200" s="981">
        <v>30</v>
      </c>
      <c r="F200" s="981">
        <v>1</v>
      </c>
      <c r="G200" s="981"/>
      <c r="H200" s="981">
        <v>5</v>
      </c>
      <c r="I200" s="981">
        <v>2</v>
      </c>
      <c r="J200" s="981">
        <v>4</v>
      </c>
      <c r="K200" s="981">
        <v>9</v>
      </c>
      <c r="L200" s="981">
        <v>9</v>
      </c>
    </row>
    <row r="201" spans="1:12" x14ac:dyDescent="0.25">
      <c r="A201" s="981" t="s">
        <v>278</v>
      </c>
      <c r="B201" s="981" t="s">
        <v>252</v>
      </c>
      <c r="C201" s="981" t="s">
        <v>380</v>
      </c>
      <c r="D201" s="981" t="s">
        <v>69</v>
      </c>
      <c r="E201" s="981">
        <v>31</v>
      </c>
      <c r="F201" s="981">
        <v>1</v>
      </c>
      <c r="G201" s="981"/>
      <c r="H201" s="981">
        <v>5</v>
      </c>
      <c r="I201" s="981">
        <v>5</v>
      </c>
      <c r="J201" s="981">
        <v>4</v>
      </c>
      <c r="K201" s="981">
        <v>8</v>
      </c>
      <c r="L201" s="981">
        <v>8</v>
      </c>
    </row>
    <row r="202" spans="1:12" x14ac:dyDescent="0.25">
      <c r="A202" s="981" t="s">
        <v>278</v>
      </c>
      <c r="B202" s="981" t="s">
        <v>252</v>
      </c>
      <c r="C202" s="981" t="s">
        <v>381</v>
      </c>
      <c r="D202" s="981" t="s">
        <v>70</v>
      </c>
      <c r="E202" s="981">
        <v>18</v>
      </c>
      <c r="F202" s="981">
        <v>1</v>
      </c>
      <c r="G202" s="981"/>
      <c r="H202" s="981">
        <v>2</v>
      </c>
      <c r="I202" s="981">
        <v>1</v>
      </c>
      <c r="J202" s="981">
        <v>3</v>
      </c>
      <c r="K202" s="981">
        <v>4</v>
      </c>
      <c r="L202" s="981">
        <v>7</v>
      </c>
    </row>
    <row r="203" spans="1:12" x14ac:dyDescent="0.25">
      <c r="A203" s="981" t="s">
        <v>278</v>
      </c>
      <c r="B203" s="981" t="s">
        <v>252</v>
      </c>
      <c r="C203" s="981" t="s">
        <v>382</v>
      </c>
      <c r="D203" s="981" t="s">
        <v>178</v>
      </c>
      <c r="E203" s="981">
        <v>27</v>
      </c>
      <c r="F203" s="981">
        <v>1</v>
      </c>
      <c r="G203" s="981"/>
      <c r="H203" s="981">
        <v>2</v>
      </c>
      <c r="I203" s="981">
        <v>4</v>
      </c>
      <c r="J203" s="981">
        <v>3</v>
      </c>
      <c r="K203" s="981">
        <v>6</v>
      </c>
      <c r="L203" s="981">
        <v>11</v>
      </c>
    </row>
    <row r="204" spans="1:12" x14ac:dyDescent="0.25">
      <c r="A204" s="981" t="s">
        <v>278</v>
      </c>
      <c r="B204" s="981" t="s">
        <v>252</v>
      </c>
      <c r="C204" s="981" t="s">
        <v>383</v>
      </c>
      <c r="D204" s="981" t="s">
        <v>71</v>
      </c>
      <c r="E204" s="981">
        <v>21</v>
      </c>
      <c r="F204" s="981">
        <v>1</v>
      </c>
      <c r="G204" s="981"/>
      <c r="H204" s="981">
        <v>3</v>
      </c>
      <c r="I204" s="981">
        <v>2</v>
      </c>
      <c r="J204" s="981">
        <v>2</v>
      </c>
      <c r="K204" s="981">
        <v>6</v>
      </c>
      <c r="L204" s="981">
        <v>7</v>
      </c>
    </row>
    <row r="205" spans="1:12" x14ac:dyDescent="0.25">
      <c r="A205" s="981" t="s">
        <v>278</v>
      </c>
      <c r="B205" s="981" t="s">
        <v>252</v>
      </c>
      <c r="C205" s="981" t="s">
        <v>385</v>
      </c>
      <c r="D205" s="981" t="s">
        <v>124</v>
      </c>
      <c r="E205" s="981">
        <v>25</v>
      </c>
      <c r="F205" s="981">
        <v>1</v>
      </c>
      <c r="G205" s="981"/>
      <c r="H205" s="981">
        <v>3</v>
      </c>
      <c r="I205" s="981">
        <v>2</v>
      </c>
      <c r="J205" s="981">
        <v>4</v>
      </c>
      <c r="K205" s="981">
        <v>9</v>
      </c>
      <c r="L205" s="981">
        <v>6</v>
      </c>
    </row>
    <row r="206" spans="1:12" x14ac:dyDescent="0.25">
      <c r="A206" s="981" t="s">
        <v>278</v>
      </c>
      <c r="B206" s="981" t="s">
        <v>252</v>
      </c>
      <c r="C206" s="981" t="s">
        <v>386</v>
      </c>
      <c r="D206" s="981" t="s">
        <v>72</v>
      </c>
      <c r="E206" s="981">
        <v>37</v>
      </c>
      <c r="F206" s="981">
        <v>1</v>
      </c>
      <c r="G206" s="981"/>
      <c r="H206" s="981">
        <v>10</v>
      </c>
      <c r="I206" s="981">
        <v>1</v>
      </c>
      <c r="J206" s="981">
        <v>4</v>
      </c>
      <c r="K206" s="981">
        <v>13</v>
      </c>
      <c r="L206" s="981">
        <v>8</v>
      </c>
    </row>
    <row r="207" spans="1:12" x14ac:dyDescent="0.25">
      <c r="A207" s="981" t="s">
        <v>278</v>
      </c>
      <c r="B207" s="981" t="s">
        <v>252</v>
      </c>
      <c r="C207" s="981" t="s">
        <v>387</v>
      </c>
      <c r="D207" s="981" t="s">
        <v>50</v>
      </c>
      <c r="E207" s="981">
        <v>15</v>
      </c>
      <c r="F207" s="981">
        <v>1</v>
      </c>
      <c r="G207" s="981"/>
      <c r="H207" s="981">
        <v>1</v>
      </c>
      <c r="I207" s="981">
        <v>1</v>
      </c>
      <c r="J207" s="981">
        <v>2</v>
      </c>
      <c r="K207" s="981">
        <v>5</v>
      </c>
      <c r="L207" s="981">
        <v>5</v>
      </c>
    </row>
    <row r="208" spans="1:12" x14ac:dyDescent="0.25">
      <c r="A208" s="981" t="s">
        <v>278</v>
      </c>
      <c r="B208" s="981" t="s">
        <v>252</v>
      </c>
      <c r="C208" s="981" t="s">
        <v>388</v>
      </c>
      <c r="D208" s="981" t="s">
        <v>57</v>
      </c>
      <c r="E208" s="981">
        <v>15</v>
      </c>
      <c r="F208" s="981">
        <v>1</v>
      </c>
      <c r="G208" s="981"/>
      <c r="H208" s="981">
        <v>2</v>
      </c>
      <c r="I208" s="981">
        <v>1</v>
      </c>
      <c r="J208" s="981">
        <v>2</v>
      </c>
      <c r="K208" s="981">
        <v>5</v>
      </c>
      <c r="L208" s="981">
        <v>4</v>
      </c>
    </row>
    <row r="209" spans="1:12" x14ac:dyDescent="0.25">
      <c r="A209" s="981" t="s">
        <v>278</v>
      </c>
      <c r="B209" s="981" t="s">
        <v>252</v>
      </c>
      <c r="C209" s="981" t="s">
        <v>389</v>
      </c>
      <c r="D209" s="981" t="s">
        <v>73</v>
      </c>
      <c r="E209" s="981">
        <v>15</v>
      </c>
      <c r="F209" s="981">
        <v>0</v>
      </c>
      <c r="G209" s="981"/>
      <c r="H209" s="981">
        <v>3</v>
      </c>
      <c r="I209" s="981">
        <v>1</v>
      </c>
      <c r="J209" s="981">
        <v>2</v>
      </c>
      <c r="K209" s="981">
        <v>4</v>
      </c>
      <c r="L209" s="981">
        <v>5</v>
      </c>
    </row>
    <row r="210" spans="1:12" x14ac:dyDescent="0.25">
      <c r="A210" s="981" t="s">
        <v>278</v>
      </c>
      <c r="B210" s="981" t="s">
        <v>252</v>
      </c>
      <c r="C210" s="981" t="s">
        <v>390</v>
      </c>
      <c r="D210" s="981" t="s">
        <v>74</v>
      </c>
      <c r="E210" s="981">
        <v>16</v>
      </c>
      <c r="F210" s="981">
        <v>1</v>
      </c>
      <c r="G210" s="981"/>
      <c r="H210" s="981">
        <v>6</v>
      </c>
      <c r="I210" s="981">
        <v>0</v>
      </c>
      <c r="J210" s="981">
        <v>3</v>
      </c>
      <c r="K210" s="981">
        <v>5</v>
      </c>
      <c r="L210" s="981">
        <v>1</v>
      </c>
    </row>
    <row r="211" spans="1:12" x14ac:dyDescent="0.25">
      <c r="A211" s="981" t="s">
        <v>278</v>
      </c>
      <c r="B211" s="981" t="s">
        <v>252</v>
      </c>
      <c r="C211" s="981" t="s">
        <v>376</v>
      </c>
      <c r="D211" s="981" t="s">
        <v>67</v>
      </c>
      <c r="E211" s="981">
        <v>28</v>
      </c>
      <c r="F211" s="981">
        <v>1</v>
      </c>
      <c r="G211" s="981"/>
      <c r="H211" s="981">
        <v>2</v>
      </c>
      <c r="I211" s="981">
        <v>2</v>
      </c>
      <c r="J211" s="981">
        <v>4</v>
      </c>
      <c r="K211" s="981">
        <v>9</v>
      </c>
      <c r="L211" s="981">
        <v>10</v>
      </c>
    </row>
    <row r="212" spans="1:12" x14ac:dyDescent="0.25">
      <c r="A212" s="981" t="s">
        <v>278</v>
      </c>
      <c r="B212" s="981" t="s">
        <v>252</v>
      </c>
      <c r="C212" s="981" t="s">
        <v>384</v>
      </c>
      <c r="D212" s="981" t="s">
        <v>43</v>
      </c>
      <c r="E212" s="981">
        <v>24</v>
      </c>
      <c r="F212" s="981">
        <v>1</v>
      </c>
      <c r="G212" s="981"/>
      <c r="H212" s="981">
        <v>3</v>
      </c>
      <c r="I212" s="981">
        <v>3</v>
      </c>
      <c r="J212" s="981">
        <v>2</v>
      </c>
      <c r="K212" s="981">
        <v>7</v>
      </c>
      <c r="L212" s="981">
        <v>8</v>
      </c>
    </row>
    <row r="213" spans="1:12" x14ac:dyDescent="0.25">
      <c r="A213" s="981" t="s">
        <v>278</v>
      </c>
      <c r="B213" s="981" t="s">
        <v>253</v>
      </c>
      <c r="C213" s="981" t="s">
        <v>412</v>
      </c>
      <c r="D213" s="981" t="s">
        <v>176</v>
      </c>
      <c r="E213" s="981">
        <v>68</v>
      </c>
      <c r="F213" s="981">
        <v>1</v>
      </c>
      <c r="G213" s="981"/>
      <c r="H213" s="981">
        <v>10</v>
      </c>
      <c r="I213" s="981">
        <v>1</v>
      </c>
      <c r="J213" s="981">
        <v>3</v>
      </c>
      <c r="K213" s="981">
        <v>11</v>
      </c>
      <c r="L213" s="981">
        <v>42</v>
      </c>
    </row>
    <row r="214" spans="1:12" x14ac:dyDescent="0.25">
      <c r="A214" s="981" t="s">
        <v>278</v>
      </c>
      <c r="B214" s="981" t="s">
        <v>253</v>
      </c>
      <c r="C214" s="981" t="s">
        <v>411</v>
      </c>
      <c r="D214" s="981" t="s">
        <v>177</v>
      </c>
      <c r="E214" s="981">
        <v>38</v>
      </c>
      <c r="F214" s="981">
        <v>1</v>
      </c>
      <c r="G214" s="981"/>
      <c r="H214" s="981">
        <v>6</v>
      </c>
      <c r="I214" s="981">
        <v>1</v>
      </c>
      <c r="J214" s="981">
        <v>5</v>
      </c>
      <c r="K214" s="981">
        <v>5</v>
      </c>
      <c r="L214" s="981">
        <v>20</v>
      </c>
    </row>
    <row r="215" spans="1:12" x14ac:dyDescent="0.25">
      <c r="A215" s="981" t="s">
        <v>278</v>
      </c>
      <c r="B215" s="981" t="s">
        <v>253</v>
      </c>
      <c r="C215" s="981" t="s">
        <v>413</v>
      </c>
      <c r="D215" s="981" t="s">
        <v>175</v>
      </c>
      <c r="E215" s="981">
        <v>45</v>
      </c>
      <c r="F215" s="981">
        <v>1</v>
      </c>
      <c r="G215" s="981"/>
      <c r="H215" s="981">
        <v>6</v>
      </c>
      <c r="I215" s="981">
        <v>1</v>
      </c>
      <c r="J215" s="981">
        <v>4</v>
      </c>
      <c r="K215" s="981">
        <v>9</v>
      </c>
      <c r="L215" s="981">
        <v>24</v>
      </c>
    </row>
    <row r="216" spans="1:12" x14ac:dyDescent="0.25">
      <c r="A216" s="981" t="s">
        <v>278</v>
      </c>
      <c r="B216" s="981" t="s">
        <v>254</v>
      </c>
      <c r="C216" s="981" t="s">
        <v>391</v>
      </c>
      <c r="D216" s="981" t="s">
        <v>263</v>
      </c>
      <c r="E216" s="981">
        <v>182</v>
      </c>
      <c r="F216" s="981">
        <v>15</v>
      </c>
      <c r="G216" s="981">
        <v>4</v>
      </c>
      <c r="H216" s="981">
        <v>0</v>
      </c>
      <c r="I216" s="981">
        <v>101</v>
      </c>
      <c r="J216" s="981">
        <v>11</v>
      </c>
      <c r="K216" s="981">
        <v>9</v>
      </c>
      <c r="L216" s="981">
        <v>42</v>
      </c>
    </row>
    <row r="217" spans="1:12" x14ac:dyDescent="0.25">
      <c r="A217" s="981" t="s">
        <v>259</v>
      </c>
      <c r="B217" s="981" t="s">
        <v>251</v>
      </c>
      <c r="C217" s="981" t="s">
        <v>287</v>
      </c>
      <c r="D217" s="981" t="s">
        <v>35</v>
      </c>
      <c r="E217" s="981">
        <v>25</v>
      </c>
      <c r="F217" s="981"/>
      <c r="G217" s="981"/>
      <c r="H217" s="981">
        <v>5</v>
      </c>
      <c r="I217" s="981">
        <v>15</v>
      </c>
      <c r="J217" s="981"/>
      <c r="K217" s="981"/>
      <c r="L217" s="981">
        <v>5</v>
      </c>
    </row>
    <row r="218" spans="1:12" x14ac:dyDescent="0.25">
      <c r="A218" s="981" t="s">
        <v>259</v>
      </c>
      <c r="B218" s="981" t="s">
        <v>251</v>
      </c>
      <c r="C218" s="981" t="s">
        <v>288</v>
      </c>
      <c r="D218" s="981" t="s">
        <v>36</v>
      </c>
      <c r="E218" s="981">
        <v>54</v>
      </c>
      <c r="F218" s="981"/>
      <c r="G218" s="981"/>
      <c r="H218" s="981">
        <v>11</v>
      </c>
      <c r="I218" s="981">
        <v>38</v>
      </c>
      <c r="J218" s="981"/>
      <c r="K218" s="981"/>
      <c r="L218" s="981">
        <v>5</v>
      </c>
    </row>
    <row r="219" spans="1:12" x14ac:dyDescent="0.25">
      <c r="A219" s="981" t="s">
        <v>259</v>
      </c>
      <c r="B219" s="981" t="s">
        <v>251</v>
      </c>
      <c r="C219" s="981" t="s">
        <v>289</v>
      </c>
      <c r="D219" s="981" t="s">
        <v>38</v>
      </c>
      <c r="E219" s="981">
        <v>49</v>
      </c>
      <c r="F219" s="981"/>
      <c r="G219" s="981"/>
      <c r="H219" s="981">
        <v>10</v>
      </c>
      <c r="I219" s="981">
        <v>34</v>
      </c>
      <c r="J219" s="981"/>
      <c r="K219" s="981"/>
      <c r="L219" s="981">
        <v>5</v>
      </c>
    </row>
    <row r="220" spans="1:12" x14ac:dyDescent="0.25">
      <c r="A220" s="981" t="s">
        <v>259</v>
      </c>
      <c r="B220" s="981" t="s">
        <v>251</v>
      </c>
      <c r="C220" s="981" t="s">
        <v>290</v>
      </c>
      <c r="D220" s="981" t="s">
        <v>40</v>
      </c>
      <c r="E220" s="981">
        <v>23</v>
      </c>
      <c r="F220" s="981"/>
      <c r="G220" s="981"/>
      <c r="H220" s="981">
        <v>5</v>
      </c>
      <c r="I220" s="981">
        <v>13</v>
      </c>
      <c r="J220" s="981"/>
      <c r="K220" s="981"/>
      <c r="L220" s="981">
        <v>5</v>
      </c>
    </row>
    <row r="221" spans="1:12" x14ac:dyDescent="0.25">
      <c r="A221" s="981" t="s">
        <v>259</v>
      </c>
      <c r="B221" s="981" t="s">
        <v>251</v>
      </c>
      <c r="C221" s="981" t="s">
        <v>291</v>
      </c>
      <c r="D221" s="981" t="s">
        <v>41</v>
      </c>
      <c r="E221" s="981">
        <v>51</v>
      </c>
      <c r="F221" s="981"/>
      <c r="G221" s="981"/>
      <c r="H221" s="981">
        <v>10</v>
      </c>
      <c r="I221" s="981">
        <v>30</v>
      </c>
      <c r="J221" s="981"/>
      <c r="K221" s="981"/>
      <c r="L221" s="981">
        <v>11</v>
      </c>
    </row>
    <row r="222" spans="1:12" x14ac:dyDescent="0.25">
      <c r="A222" s="981" t="s">
        <v>259</v>
      </c>
      <c r="B222" s="981" t="s">
        <v>251</v>
      </c>
      <c r="C222" s="981" t="s">
        <v>293</v>
      </c>
      <c r="D222" s="981" t="s">
        <v>42</v>
      </c>
      <c r="E222" s="981">
        <v>87</v>
      </c>
      <c r="F222" s="981"/>
      <c r="G222" s="981"/>
      <c r="H222" s="981">
        <v>22</v>
      </c>
      <c r="I222" s="981">
        <v>49</v>
      </c>
      <c r="J222" s="981"/>
      <c r="K222" s="981"/>
      <c r="L222" s="981">
        <v>16</v>
      </c>
    </row>
    <row r="223" spans="1:12" x14ac:dyDescent="0.25">
      <c r="A223" s="981" t="s">
        <v>259</v>
      </c>
      <c r="B223" s="981" t="s">
        <v>251</v>
      </c>
      <c r="C223" s="981" t="s">
        <v>294</v>
      </c>
      <c r="D223" s="981" t="s">
        <v>44</v>
      </c>
      <c r="E223" s="981">
        <v>68</v>
      </c>
      <c r="F223" s="981"/>
      <c r="G223" s="981"/>
      <c r="H223" s="981">
        <v>15</v>
      </c>
      <c r="I223" s="981">
        <v>49</v>
      </c>
      <c r="J223" s="981"/>
      <c r="K223" s="981"/>
      <c r="L223" s="981">
        <v>4</v>
      </c>
    </row>
    <row r="224" spans="1:12" x14ac:dyDescent="0.25">
      <c r="A224" s="981" t="s">
        <v>259</v>
      </c>
      <c r="B224" s="981" t="s">
        <v>251</v>
      </c>
      <c r="C224" s="981" t="s">
        <v>295</v>
      </c>
      <c r="D224" s="981" t="s">
        <v>45</v>
      </c>
      <c r="E224" s="981">
        <v>72</v>
      </c>
      <c r="F224" s="981"/>
      <c r="G224" s="981"/>
      <c r="H224" s="981">
        <v>15</v>
      </c>
      <c r="I224" s="981">
        <v>44</v>
      </c>
      <c r="J224" s="981"/>
      <c r="K224" s="981"/>
      <c r="L224" s="981">
        <v>13</v>
      </c>
    </row>
    <row r="225" spans="1:12" x14ac:dyDescent="0.25">
      <c r="A225" s="981" t="s">
        <v>259</v>
      </c>
      <c r="B225" s="981" t="s">
        <v>251</v>
      </c>
      <c r="C225" s="981" t="s">
        <v>296</v>
      </c>
      <c r="D225" s="981" t="s">
        <v>46</v>
      </c>
      <c r="E225" s="981">
        <v>28</v>
      </c>
      <c r="F225" s="981"/>
      <c r="G225" s="981"/>
      <c r="H225" s="981">
        <v>5</v>
      </c>
      <c r="I225" s="981">
        <v>18</v>
      </c>
      <c r="J225" s="981"/>
      <c r="K225" s="981"/>
      <c r="L225" s="981">
        <v>5</v>
      </c>
    </row>
    <row r="226" spans="1:12" x14ac:dyDescent="0.25">
      <c r="A226" s="981" t="s">
        <v>259</v>
      </c>
      <c r="B226" s="981" t="s">
        <v>251</v>
      </c>
      <c r="C226" s="981" t="s">
        <v>297</v>
      </c>
      <c r="D226" s="981" t="s">
        <v>47</v>
      </c>
      <c r="E226" s="981">
        <v>29</v>
      </c>
      <c r="F226" s="981"/>
      <c r="G226" s="981"/>
      <c r="H226" s="981">
        <v>5</v>
      </c>
      <c r="I226" s="981">
        <v>19</v>
      </c>
      <c r="J226" s="981"/>
      <c r="K226" s="981"/>
      <c r="L226" s="981">
        <v>5</v>
      </c>
    </row>
    <row r="227" spans="1:12" x14ac:dyDescent="0.25">
      <c r="A227" s="981" t="s">
        <v>259</v>
      </c>
      <c r="B227" s="981" t="s">
        <v>251</v>
      </c>
      <c r="C227" s="981" t="s">
        <v>298</v>
      </c>
      <c r="D227" s="981" t="s">
        <v>49</v>
      </c>
      <c r="E227" s="981">
        <v>76</v>
      </c>
      <c r="F227" s="981"/>
      <c r="G227" s="981"/>
      <c r="H227" s="981">
        <v>16</v>
      </c>
      <c r="I227" s="981">
        <v>45</v>
      </c>
      <c r="J227" s="981"/>
      <c r="K227" s="981"/>
      <c r="L227" s="981">
        <v>15</v>
      </c>
    </row>
    <row r="228" spans="1:12" x14ac:dyDescent="0.25">
      <c r="A228" s="981" t="s">
        <v>259</v>
      </c>
      <c r="B228" s="981" t="s">
        <v>251</v>
      </c>
      <c r="C228" s="981" t="s">
        <v>300</v>
      </c>
      <c r="D228" s="981" t="s">
        <v>52</v>
      </c>
      <c r="E228" s="981">
        <v>69</v>
      </c>
      <c r="F228" s="981"/>
      <c r="G228" s="981"/>
      <c r="H228" s="981">
        <v>10</v>
      </c>
      <c r="I228" s="981">
        <v>54</v>
      </c>
      <c r="J228" s="981"/>
      <c r="K228" s="981"/>
      <c r="L228" s="981">
        <v>5</v>
      </c>
    </row>
    <row r="229" spans="1:12" x14ac:dyDescent="0.25">
      <c r="A229" s="981" t="s">
        <v>259</v>
      </c>
      <c r="B229" s="981" t="s">
        <v>251</v>
      </c>
      <c r="C229" s="981" t="s">
        <v>301</v>
      </c>
      <c r="D229" s="981" t="s">
        <v>54</v>
      </c>
      <c r="E229" s="981">
        <v>51</v>
      </c>
      <c r="F229" s="981"/>
      <c r="G229" s="981"/>
      <c r="H229" s="981">
        <v>9</v>
      </c>
      <c r="I229" s="981">
        <v>32</v>
      </c>
      <c r="J229" s="981"/>
      <c r="K229" s="981"/>
      <c r="L229" s="981">
        <v>10</v>
      </c>
    </row>
    <row r="230" spans="1:12" x14ac:dyDescent="0.25">
      <c r="A230" s="981" t="s">
        <v>259</v>
      </c>
      <c r="B230" s="981" t="s">
        <v>251</v>
      </c>
      <c r="C230" s="981" t="s">
        <v>303</v>
      </c>
      <c r="D230" s="981" t="s">
        <v>56</v>
      </c>
      <c r="E230" s="981">
        <v>50</v>
      </c>
      <c r="F230" s="981"/>
      <c r="G230" s="981"/>
      <c r="H230" s="981">
        <v>10</v>
      </c>
      <c r="I230" s="981">
        <v>35</v>
      </c>
      <c r="J230" s="981"/>
      <c r="K230" s="981"/>
      <c r="L230" s="981">
        <v>5</v>
      </c>
    </row>
    <row r="231" spans="1:12" x14ac:dyDescent="0.25">
      <c r="A231" s="981" t="s">
        <v>259</v>
      </c>
      <c r="B231" s="981" t="s">
        <v>251</v>
      </c>
      <c r="C231" s="981" t="s">
        <v>304</v>
      </c>
      <c r="D231" s="981" t="s">
        <v>57</v>
      </c>
      <c r="E231" s="981">
        <v>166</v>
      </c>
      <c r="F231" s="981"/>
      <c r="G231" s="981"/>
      <c r="H231" s="981">
        <v>35</v>
      </c>
      <c r="I231" s="981">
        <v>111</v>
      </c>
      <c r="J231" s="981"/>
      <c r="K231" s="981"/>
      <c r="L231" s="981">
        <v>20</v>
      </c>
    </row>
    <row r="232" spans="1:12" x14ac:dyDescent="0.25">
      <c r="A232" s="981" t="s">
        <v>259</v>
      </c>
      <c r="B232" s="981" t="s">
        <v>251</v>
      </c>
      <c r="C232" s="981" t="s">
        <v>305</v>
      </c>
      <c r="D232" s="981" t="s">
        <v>58</v>
      </c>
      <c r="E232" s="981">
        <v>48</v>
      </c>
      <c r="F232" s="981"/>
      <c r="G232" s="981"/>
      <c r="H232" s="981">
        <v>9</v>
      </c>
      <c r="I232" s="981">
        <v>34</v>
      </c>
      <c r="J232" s="981"/>
      <c r="K232" s="981"/>
      <c r="L232" s="981">
        <v>5</v>
      </c>
    </row>
    <row r="233" spans="1:12" x14ac:dyDescent="0.25">
      <c r="A233" s="981" t="s">
        <v>259</v>
      </c>
      <c r="B233" s="981" t="s">
        <v>251</v>
      </c>
      <c r="C233" s="981" t="s">
        <v>306</v>
      </c>
      <c r="D233" s="981" t="s">
        <v>31</v>
      </c>
      <c r="E233" s="981">
        <v>145</v>
      </c>
      <c r="F233" s="981"/>
      <c r="G233" s="981"/>
      <c r="H233" s="981">
        <v>33</v>
      </c>
      <c r="I233" s="981">
        <v>97</v>
      </c>
      <c r="J233" s="981"/>
      <c r="K233" s="981"/>
      <c r="L233" s="981">
        <v>15</v>
      </c>
    </row>
    <row r="234" spans="1:12" x14ac:dyDescent="0.25">
      <c r="A234" s="981" t="s">
        <v>259</v>
      </c>
      <c r="B234" s="981" t="s">
        <v>251</v>
      </c>
      <c r="C234" s="981" t="s">
        <v>307</v>
      </c>
      <c r="D234" s="981" t="s">
        <v>32</v>
      </c>
      <c r="E234" s="981">
        <v>24</v>
      </c>
      <c r="F234" s="981"/>
      <c r="G234" s="981"/>
      <c r="H234" s="981">
        <v>5</v>
      </c>
      <c r="I234" s="981">
        <v>14</v>
      </c>
      <c r="J234" s="981"/>
      <c r="K234" s="981"/>
      <c r="L234" s="981">
        <v>5</v>
      </c>
    </row>
    <row r="235" spans="1:12" x14ac:dyDescent="0.25">
      <c r="A235" s="981" t="s">
        <v>259</v>
      </c>
      <c r="B235" s="981" t="s">
        <v>251</v>
      </c>
      <c r="C235" s="981" t="s">
        <v>308</v>
      </c>
      <c r="D235" s="981" t="s">
        <v>34</v>
      </c>
      <c r="E235" s="981">
        <v>50</v>
      </c>
      <c r="F235" s="981"/>
      <c r="G235" s="981"/>
      <c r="H235" s="981">
        <v>10</v>
      </c>
      <c r="I235" s="981">
        <v>30</v>
      </c>
      <c r="J235" s="981"/>
      <c r="K235" s="981"/>
      <c r="L235" s="981">
        <v>10</v>
      </c>
    </row>
    <row r="236" spans="1:12" x14ac:dyDescent="0.25">
      <c r="A236" s="981" t="s">
        <v>259</v>
      </c>
      <c r="B236" s="981" t="s">
        <v>251</v>
      </c>
      <c r="C236" s="981" t="s">
        <v>309</v>
      </c>
      <c r="D236" s="981" t="s">
        <v>262</v>
      </c>
      <c r="E236" s="981">
        <v>293</v>
      </c>
      <c r="F236" s="981"/>
      <c r="G236" s="981"/>
      <c r="H236" s="981">
        <v>54</v>
      </c>
      <c r="I236" s="981">
        <v>204</v>
      </c>
      <c r="J236" s="981"/>
      <c r="K236" s="981"/>
      <c r="L236" s="981">
        <v>35</v>
      </c>
    </row>
    <row r="237" spans="1:12" x14ac:dyDescent="0.25">
      <c r="A237" s="981" t="s">
        <v>259</v>
      </c>
      <c r="B237" s="981" t="s">
        <v>251</v>
      </c>
      <c r="C237" s="981" t="s">
        <v>310</v>
      </c>
      <c r="D237" s="981" t="s">
        <v>53</v>
      </c>
      <c r="E237" s="981">
        <v>94</v>
      </c>
      <c r="F237" s="981"/>
      <c r="G237" s="981"/>
      <c r="H237" s="981">
        <v>20</v>
      </c>
      <c r="I237" s="981">
        <v>59</v>
      </c>
      <c r="J237" s="981"/>
      <c r="K237" s="981"/>
      <c r="L237" s="981">
        <v>15</v>
      </c>
    </row>
    <row r="238" spans="1:12" x14ac:dyDescent="0.25">
      <c r="A238" s="981" t="s">
        <v>259</v>
      </c>
      <c r="B238" s="981" t="s">
        <v>251</v>
      </c>
      <c r="C238" s="981" t="s">
        <v>311</v>
      </c>
      <c r="D238" s="981" t="s">
        <v>59</v>
      </c>
      <c r="E238" s="981">
        <v>68</v>
      </c>
      <c r="F238" s="981"/>
      <c r="G238" s="981"/>
      <c r="H238" s="981">
        <v>15</v>
      </c>
      <c r="I238" s="981">
        <v>43</v>
      </c>
      <c r="J238" s="981"/>
      <c r="K238" s="981"/>
      <c r="L238" s="981">
        <v>10</v>
      </c>
    </row>
    <row r="239" spans="1:12" x14ac:dyDescent="0.25">
      <c r="A239" s="981" t="s">
        <v>259</v>
      </c>
      <c r="B239" s="981" t="s">
        <v>251</v>
      </c>
      <c r="C239" s="981" t="s">
        <v>312</v>
      </c>
      <c r="D239" s="981" t="s">
        <v>60</v>
      </c>
      <c r="E239" s="981">
        <v>58</v>
      </c>
      <c r="F239" s="981"/>
      <c r="G239" s="981"/>
      <c r="H239" s="981">
        <v>11</v>
      </c>
      <c r="I239" s="981">
        <v>37</v>
      </c>
      <c r="J239" s="981"/>
      <c r="K239" s="981"/>
      <c r="L239" s="981">
        <v>10</v>
      </c>
    </row>
    <row r="240" spans="1:12" x14ac:dyDescent="0.25">
      <c r="A240" s="981" t="s">
        <v>259</v>
      </c>
      <c r="B240" s="981" t="s">
        <v>251</v>
      </c>
      <c r="C240" s="981" t="s">
        <v>313</v>
      </c>
      <c r="D240" s="981" t="s">
        <v>33</v>
      </c>
      <c r="E240" s="981">
        <v>28</v>
      </c>
      <c r="F240" s="981"/>
      <c r="G240" s="981"/>
      <c r="H240" s="981">
        <v>5</v>
      </c>
      <c r="I240" s="981">
        <v>18</v>
      </c>
      <c r="J240" s="981"/>
      <c r="K240" s="981"/>
      <c r="L240" s="981">
        <v>5</v>
      </c>
    </row>
    <row r="241" spans="1:12" x14ac:dyDescent="0.25">
      <c r="A241" s="981" t="s">
        <v>259</v>
      </c>
      <c r="B241" s="981" t="s">
        <v>251</v>
      </c>
      <c r="C241" s="981" t="s">
        <v>314</v>
      </c>
      <c r="D241" s="981" t="s">
        <v>37</v>
      </c>
      <c r="E241" s="981">
        <v>178</v>
      </c>
      <c r="F241" s="981"/>
      <c r="G241" s="981"/>
      <c r="H241" s="981">
        <v>35</v>
      </c>
      <c r="I241" s="981">
        <v>122</v>
      </c>
      <c r="J241" s="981"/>
      <c r="K241" s="981"/>
      <c r="L241" s="981">
        <v>21</v>
      </c>
    </row>
    <row r="242" spans="1:12" x14ac:dyDescent="0.25">
      <c r="A242" s="981" t="s">
        <v>259</v>
      </c>
      <c r="B242" s="981" t="s">
        <v>251</v>
      </c>
      <c r="C242" s="981" t="s">
        <v>315</v>
      </c>
      <c r="D242" s="981" t="s">
        <v>50</v>
      </c>
      <c r="E242" s="981">
        <v>163</v>
      </c>
      <c r="F242" s="981"/>
      <c r="G242" s="981"/>
      <c r="H242" s="981">
        <v>31</v>
      </c>
      <c r="I242" s="981">
        <v>113</v>
      </c>
      <c r="J242" s="981"/>
      <c r="K242" s="981"/>
      <c r="L242" s="981">
        <v>19</v>
      </c>
    </row>
    <row r="243" spans="1:12" x14ac:dyDescent="0.25">
      <c r="A243" s="981" t="s">
        <v>259</v>
      </c>
      <c r="B243" s="981" t="s">
        <v>251</v>
      </c>
      <c r="C243" s="981" t="s">
        <v>316</v>
      </c>
      <c r="D243" s="981" t="s">
        <v>39</v>
      </c>
      <c r="E243" s="981">
        <v>78</v>
      </c>
      <c r="F243" s="981"/>
      <c r="G243" s="981"/>
      <c r="H243" s="981">
        <v>15</v>
      </c>
      <c r="I243" s="981">
        <v>48</v>
      </c>
      <c r="J243" s="981"/>
      <c r="K243" s="981"/>
      <c r="L243" s="981">
        <v>15</v>
      </c>
    </row>
    <row r="244" spans="1:12" x14ac:dyDescent="0.25">
      <c r="A244" s="981" t="s">
        <v>259</v>
      </c>
      <c r="B244" s="981" t="s">
        <v>251</v>
      </c>
      <c r="C244" s="981" t="s">
        <v>317</v>
      </c>
      <c r="D244" s="981" t="s">
        <v>124</v>
      </c>
      <c r="E244" s="981">
        <v>489</v>
      </c>
      <c r="F244" s="981"/>
      <c r="G244" s="981"/>
      <c r="H244" s="981">
        <v>113</v>
      </c>
      <c r="I244" s="981">
        <v>319</v>
      </c>
      <c r="J244" s="981"/>
      <c r="K244" s="981"/>
      <c r="L244" s="981">
        <v>57</v>
      </c>
    </row>
    <row r="245" spans="1:12" x14ac:dyDescent="0.25">
      <c r="A245" s="981" t="s">
        <v>259</v>
      </c>
      <c r="B245" s="981" t="s">
        <v>251</v>
      </c>
      <c r="C245" s="981" t="s">
        <v>318</v>
      </c>
      <c r="D245" s="981" t="s">
        <v>43</v>
      </c>
      <c r="E245" s="981">
        <v>254</v>
      </c>
      <c r="F245" s="981"/>
      <c r="G245" s="981"/>
      <c r="H245" s="981">
        <v>49</v>
      </c>
      <c r="I245" s="981">
        <v>181</v>
      </c>
      <c r="J245" s="981"/>
      <c r="K245" s="981"/>
      <c r="L245" s="981">
        <v>24</v>
      </c>
    </row>
    <row r="246" spans="1:12" x14ac:dyDescent="0.25">
      <c r="A246" s="981" t="s">
        <v>259</v>
      </c>
      <c r="B246" s="981" t="s">
        <v>252</v>
      </c>
      <c r="C246" s="981" t="s">
        <v>374</v>
      </c>
      <c r="D246" s="981" t="s">
        <v>31</v>
      </c>
      <c r="E246" s="981">
        <v>15</v>
      </c>
      <c r="F246" s="981">
        <v>1</v>
      </c>
      <c r="G246" s="981"/>
      <c r="H246" s="981">
        <v>2</v>
      </c>
      <c r="I246" s="981">
        <v>2</v>
      </c>
      <c r="J246" s="981">
        <v>2</v>
      </c>
      <c r="K246" s="981">
        <v>3</v>
      </c>
      <c r="L246" s="981">
        <v>5</v>
      </c>
    </row>
    <row r="247" spans="1:12" x14ac:dyDescent="0.25">
      <c r="A247" s="981" t="s">
        <v>259</v>
      </c>
      <c r="B247" s="981" t="s">
        <v>252</v>
      </c>
      <c r="C247" s="981" t="s">
        <v>375</v>
      </c>
      <c r="D247" s="981" t="s">
        <v>64</v>
      </c>
      <c r="E247" s="981">
        <v>25</v>
      </c>
      <c r="F247" s="981">
        <v>1</v>
      </c>
      <c r="G247" s="981"/>
      <c r="H247" s="981">
        <v>7</v>
      </c>
      <c r="I247" s="981"/>
      <c r="J247" s="981">
        <v>2</v>
      </c>
      <c r="K247" s="981">
        <v>7</v>
      </c>
      <c r="L247" s="981">
        <v>8</v>
      </c>
    </row>
    <row r="248" spans="1:12" x14ac:dyDescent="0.25">
      <c r="A248" s="981" t="s">
        <v>259</v>
      </c>
      <c r="B248" s="981" t="s">
        <v>252</v>
      </c>
      <c r="C248" s="981" t="s">
        <v>377</v>
      </c>
      <c r="D248" s="981" t="s">
        <v>65</v>
      </c>
      <c r="E248" s="981">
        <v>26</v>
      </c>
      <c r="F248" s="981">
        <v>1</v>
      </c>
      <c r="G248" s="981"/>
      <c r="H248" s="981">
        <v>6</v>
      </c>
      <c r="I248" s="981">
        <v>1</v>
      </c>
      <c r="J248" s="981">
        <v>3</v>
      </c>
      <c r="K248" s="981">
        <v>9</v>
      </c>
      <c r="L248" s="981">
        <v>6</v>
      </c>
    </row>
    <row r="249" spans="1:12" x14ac:dyDescent="0.25">
      <c r="A249" s="981" t="s">
        <v>259</v>
      </c>
      <c r="B249" s="981" t="s">
        <v>252</v>
      </c>
      <c r="C249" s="981" t="s">
        <v>378</v>
      </c>
      <c r="D249" s="981" t="s">
        <v>36</v>
      </c>
      <c r="E249" s="981">
        <v>22</v>
      </c>
      <c r="F249" s="981">
        <v>1</v>
      </c>
      <c r="G249" s="981"/>
      <c r="H249" s="981">
        <v>4</v>
      </c>
      <c r="I249" s="981">
        <v>2</v>
      </c>
      <c r="J249" s="981">
        <v>2</v>
      </c>
      <c r="K249" s="981">
        <v>6</v>
      </c>
      <c r="L249" s="981">
        <v>7</v>
      </c>
    </row>
    <row r="250" spans="1:12" x14ac:dyDescent="0.25">
      <c r="A250" s="981" t="s">
        <v>259</v>
      </c>
      <c r="B250" s="981" t="s">
        <v>252</v>
      </c>
      <c r="C250" s="981" t="s">
        <v>379</v>
      </c>
      <c r="D250" s="981" t="s">
        <v>68</v>
      </c>
      <c r="E250" s="981">
        <v>27</v>
      </c>
      <c r="F250" s="981">
        <v>1</v>
      </c>
      <c r="G250" s="981"/>
      <c r="H250" s="981">
        <v>5</v>
      </c>
      <c r="I250" s="981">
        <v>1</v>
      </c>
      <c r="J250" s="981">
        <v>3</v>
      </c>
      <c r="K250" s="981">
        <v>9</v>
      </c>
      <c r="L250" s="981">
        <v>8</v>
      </c>
    </row>
    <row r="251" spans="1:12" x14ac:dyDescent="0.25">
      <c r="A251" s="981" t="s">
        <v>259</v>
      </c>
      <c r="B251" s="981" t="s">
        <v>252</v>
      </c>
      <c r="C251" s="981" t="s">
        <v>380</v>
      </c>
      <c r="D251" s="981" t="s">
        <v>69</v>
      </c>
      <c r="E251" s="981">
        <v>27</v>
      </c>
      <c r="F251" s="981">
        <v>1</v>
      </c>
      <c r="G251" s="981"/>
      <c r="H251" s="981">
        <v>3</v>
      </c>
      <c r="I251" s="981">
        <v>5</v>
      </c>
      <c r="J251" s="981">
        <v>3</v>
      </c>
      <c r="K251" s="981">
        <v>7</v>
      </c>
      <c r="L251" s="981">
        <v>8</v>
      </c>
    </row>
    <row r="252" spans="1:12" x14ac:dyDescent="0.25">
      <c r="A252" s="981" t="s">
        <v>259</v>
      </c>
      <c r="B252" s="981" t="s">
        <v>252</v>
      </c>
      <c r="C252" s="981" t="s">
        <v>381</v>
      </c>
      <c r="D252" s="981" t="s">
        <v>70</v>
      </c>
      <c r="E252" s="981">
        <v>16</v>
      </c>
      <c r="F252" s="981">
        <v>1</v>
      </c>
      <c r="G252" s="981"/>
      <c r="H252" s="981">
        <v>2</v>
      </c>
      <c r="I252" s="981">
        <v>2</v>
      </c>
      <c r="J252" s="981">
        <v>3</v>
      </c>
      <c r="K252" s="981">
        <v>4</v>
      </c>
      <c r="L252" s="981">
        <v>4</v>
      </c>
    </row>
    <row r="253" spans="1:12" x14ac:dyDescent="0.25">
      <c r="A253" s="981" t="s">
        <v>259</v>
      </c>
      <c r="B253" s="981" t="s">
        <v>252</v>
      </c>
      <c r="C253" s="981" t="s">
        <v>382</v>
      </c>
      <c r="D253" s="981" t="s">
        <v>178</v>
      </c>
      <c r="E253" s="981">
        <v>31</v>
      </c>
      <c r="F253" s="981">
        <v>1</v>
      </c>
      <c r="G253" s="981"/>
      <c r="H253" s="981">
        <v>6</v>
      </c>
      <c r="I253" s="981">
        <v>3</v>
      </c>
      <c r="J253" s="981">
        <v>3</v>
      </c>
      <c r="K253" s="981">
        <v>7</v>
      </c>
      <c r="L253" s="981">
        <v>11</v>
      </c>
    </row>
    <row r="254" spans="1:12" x14ac:dyDescent="0.25">
      <c r="A254" s="981" t="s">
        <v>259</v>
      </c>
      <c r="B254" s="981" t="s">
        <v>252</v>
      </c>
      <c r="C254" s="981" t="s">
        <v>383</v>
      </c>
      <c r="D254" s="981" t="s">
        <v>71</v>
      </c>
      <c r="E254" s="981">
        <v>19</v>
      </c>
      <c r="F254" s="981">
        <v>1</v>
      </c>
      <c r="G254" s="981"/>
      <c r="H254" s="981">
        <v>3</v>
      </c>
      <c r="I254" s="981">
        <v>2</v>
      </c>
      <c r="J254" s="981">
        <v>2</v>
      </c>
      <c r="K254" s="981">
        <v>5</v>
      </c>
      <c r="L254" s="981">
        <v>6</v>
      </c>
    </row>
    <row r="255" spans="1:12" x14ac:dyDescent="0.25">
      <c r="A255" s="981" t="s">
        <v>259</v>
      </c>
      <c r="B255" s="981" t="s">
        <v>252</v>
      </c>
      <c r="C255" s="981" t="s">
        <v>385</v>
      </c>
      <c r="D255" s="981" t="s">
        <v>124</v>
      </c>
      <c r="E255" s="981">
        <v>22</v>
      </c>
      <c r="F255" s="981">
        <v>1</v>
      </c>
      <c r="G255" s="981"/>
      <c r="H255" s="981">
        <v>2</v>
      </c>
      <c r="I255" s="981">
        <v>1</v>
      </c>
      <c r="J255" s="981">
        <v>4</v>
      </c>
      <c r="K255" s="981">
        <v>8</v>
      </c>
      <c r="L255" s="981">
        <v>6</v>
      </c>
    </row>
    <row r="256" spans="1:12" x14ac:dyDescent="0.25">
      <c r="A256" s="981" t="s">
        <v>259</v>
      </c>
      <c r="B256" s="981" t="s">
        <v>252</v>
      </c>
      <c r="C256" s="981" t="s">
        <v>386</v>
      </c>
      <c r="D256" s="981" t="s">
        <v>72</v>
      </c>
      <c r="E256" s="981">
        <v>32</v>
      </c>
      <c r="F256" s="981">
        <v>1</v>
      </c>
      <c r="G256" s="981"/>
      <c r="H256" s="981">
        <v>7</v>
      </c>
      <c r="I256" s="981">
        <v>1</v>
      </c>
      <c r="J256" s="981">
        <v>4</v>
      </c>
      <c r="K256" s="981">
        <v>12</v>
      </c>
      <c r="L256" s="981">
        <v>7</v>
      </c>
    </row>
    <row r="257" spans="1:12" x14ac:dyDescent="0.25">
      <c r="A257" s="981" t="s">
        <v>259</v>
      </c>
      <c r="B257" s="981" t="s">
        <v>252</v>
      </c>
      <c r="C257" s="981" t="s">
        <v>387</v>
      </c>
      <c r="D257" s="981" t="s">
        <v>50</v>
      </c>
      <c r="E257" s="981">
        <v>17</v>
      </c>
      <c r="F257" s="981">
        <v>1</v>
      </c>
      <c r="G257" s="981"/>
      <c r="H257" s="981">
        <v>2</v>
      </c>
      <c r="I257" s="981">
        <v>1</v>
      </c>
      <c r="J257" s="981">
        <v>2</v>
      </c>
      <c r="K257" s="981">
        <v>6</v>
      </c>
      <c r="L257" s="981">
        <v>5</v>
      </c>
    </row>
    <row r="258" spans="1:12" x14ac:dyDescent="0.25">
      <c r="A258" s="981" t="s">
        <v>259</v>
      </c>
      <c r="B258" s="981" t="s">
        <v>252</v>
      </c>
      <c r="C258" s="981" t="s">
        <v>388</v>
      </c>
      <c r="D258" s="981" t="s">
        <v>57</v>
      </c>
      <c r="E258" s="981">
        <v>16</v>
      </c>
      <c r="F258" s="981">
        <v>1</v>
      </c>
      <c r="G258" s="981"/>
      <c r="H258" s="981">
        <v>2</v>
      </c>
      <c r="I258" s="981">
        <v>1</v>
      </c>
      <c r="J258" s="981">
        <v>2</v>
      </c>
      <c r="K258" s="981">
        <v>6</v>
      </c>
      <c r="L258" s="981">
        <v>4</v>
      </c>
    </row>
    <row r="259" spans="1:12" x14ac:dyDescent="0.25">
      <c r="A259" s="981" t="s">
        <v>259</v>
      </c>
      <c r="B259" s="981" t="s">
        <v>252</v>
      </c>
      <c r="C259" s="981" t="s">
        <v>389</v>
      </c>
      <c r="D259" s="981" t="s">
        <v>73</v>
      </c>
      <c r="E259" s="981">
        <v>18</v>
      </c>
      <c r="F259" s="981">
        <v>1</v>
      </c>
      <c r="G259" s="981"/>
      <c r="H259" s="981">
        <v>3</v>
      </c>
      <c r="I259" s="981">
        <v>1</v>
      </c>
      <c r="J259" s="981">
        <v>3</v>
      </c>
      <c r="K259" s="981">
        <v>5</v>
      </c>
      <c r="L259" s="981">
        <v>5</v>
      </c>
    </row>
    <row r="260" spans="1:12" x14ac:dyDescent="0.25">
      <c r="A260" s="981" t="s">
        <v>259</v>
      </c>
      <c r="B260" s="981" t="s">
        <v>252</v>
      </c>
      <c r="C260" s="981" t="s">
        <v>390</v>
      </c>
      <c r="D260" s="981" t="s">
        <v>74</v>
      </c>
      <c r="E260" s="981">
        <v>19</v>
      </c>
      <c r="F260" s="981">
        <v>1</v>
      </c>
      <c r="G260" s="981"/>
      <c r="H260" s="981">
        <v>5</v>
      </c>
      <c r="I260" s="981"/>
      <c r="J260" s="981">
        <v>2</v>
      </c>
      <c r="K260" s="981">
        <v>6</v>
      </c>
      <c r="L260" s="981">
        <v>5</v>
      </c>
    </row>
    <row r="261" spans="1:12" x14ac:dyDescent="0.25">
      <c r="A261" s="981" t="s">
        <v>259</v>
      </c>
      <c r="B261" s="981" t="s">
        <v>252</v>
      </c>
      <c r="C261" s="981" t="s">
        <v>376</v>
      </c>
      <c r="D261" s="981" t="s">
        <v>67</v>
      </c>
      <c r="E261" s="981">
        <v>28</v>
      </c>
      <c r="F261" s="981">
        <v>1</v>
      </c>
      <c r="G261" s="981"/>
      <c r="H261" s="981">
        <v>3</v>
      </c>
      <c r="I261" s="981">
        <v>2</v>
      </c>
      <c r="J261" s="981">
        <v>4</v>
      </c>
      <c r="K261" s="981">
        <v>9</v>
      </c>
      <c r="L261" s="981">
        <v>9</v>
      </c>
    </row>
    <row r="262" spans="1:12" x14ac:dyDescent="0.25">
      <c r="A262" s="981" t="s">
        <v>259</v>
      </c>
      <c r="B262" s="981" t="s">
        <v>252</v>
      </c>
      <c r="C262" s="981" t="s">
        <v>384</v>
      </c>
      <c r="D262" s="981" t="s">
        <v>43</v>
      </c>
      <c r="E262" s="981">
        <v>19</v>
      </c>
      <c r="F262" s="981"/>
      <c r="G262" s="981"/>
      <c r="H262" s="981">
        <v>1</v>
      </c>
      <c r="I262" s="981">
        <v>4</v>
      </c>
      <c r="J262" s="981">
        <v>2</v>
      </c>
      <c r="K262" s="981">
        <v>6</v>
      </c>
      <c r="L262" s="981">
        <v>6</v>
      </c>
    </row>
    <row r="263" spans="1:12" x14ac:dyDescent="0.25">
      <c r="A263" s="981" t="s">
        <v>259</v>
      </c>
      <c r="B263" s="981" t="s">
        <v>253</v>
      </c>
      <c r="C263" s="981" t="s">
        <v>412</v>
      </c>
      <c r="D263" s="981" t="s">
        <v>176</v>
      </c>
      <c r="E263" s="981">
        <v>73</v>
      </c>
      <c r="F263" s="981">
        <v>1</v>
      </c>
      <c r="G263" s="981"/>
      <c r="H263" s="981">
        <v>18</v>
      </c>
      <c r="I263" s="981"/>
      <c r="J263" s="981">
        <v>4</v>
      </c>
      <c r="K263" s="981">
        <v>13</v>
      </c>
      <c r="L263" s="981">
        <v>37</v>
      </c>
    </row>
    <row r="264" spans="1:12" x14ac:dyDescent="0.25">
      <c r="A264" s="981" t="s">
        <v>259</v>
      </c>
      <c r="B264" s="981" t="s">
        <v>253</v>
      </c>
      <c r="C264" s="981" t="s">
        <v>411</v>
      </c>
      <c r="D264" s="981" t="s">
        <v>177</v>
      </c>
      <c r="E264" s="981">
        <v>37</v>
      </c>
      <c r="F264" s="981">
        <v>1</v>
      </c>
      <c r="G264" s="981"/>
      <c r="H264" s="981">
        <v>9</v>
      </c>
      <c r="I264" s="981"/>
      <c r="J264" s="981">
        <v>5</v>
      </c>
      <c r="K264" s="981">
        <v>6</v>
      </c>
      <c r="L264" s="981">
        <v>16</v>
      </c>
    </row>
    <row r="265" spans="1:12" x14ac:dyDescent="0.25">
      <c r="A265" s="981" t="s">
        <v>259</v>
      </c>
      <c r="B265" s="981" t="s">
        <v>253</v>
      </c>
      <c r="C265" s="981" t="s">
        <v>413</v>
      </c>
      <c r="D265" s="981" t="s">
        <v>175</v>
      </c>
      <c r="E265" s="981">
        <v>46</v>
      </c>
      <c r="F265" s="981">
        <v>1</v>
      </c>
      <c r="G265" s="981"/>
      <c r="H265" s="981">
        <v>11</v>
      </c>
      <c r="I265" s="981"/>
      <c r="J265" s="981">
        <v>6</v>
      </c>
      <c r="K265" s="981">
        <v>10</v>
      </c>
      <c r="L265" s="981">
        <v>18</v>
      </c>
    </row>
    <row r="266" spans="1:12" x14ac:dyDescent="0.25">
      <c r="A266" s="981" t="s">
        <v>259</v>
      </c>
      <c r="B266" s="981" t="s">
        <v>254</v>
      </c>
      <c r="C266" s="981" t="s">
        <v>391</v>
      </c>
      <c r="D266" s="981" t="s">
        <v>263</v>
      </c>
      <c r="E266" s="981">
        <v>143</v>
      </c>
      <c r="F266" s="981">
        <v>15</v>
      </c>
      <c r="G266" s="981">
        <v>4</v>
      </c>
      <c r="H266" s="981"/>
      <c r="I266" s="981">
        <v>55</v>
      </c>
      <c r="J266" s="981">
        <v>13</v>
      </c>
      <c r="K266" s="981">
        <v>9</v>
      </c>
      <c r="L266" s="981">
        <v>47</v>
      </c>
    </row>
    <row r="267" spans="1:12" x14ac:dyDescent="0.25">
      <c r="A267" s="981" t="s">
        <v>258</v>
      </c>
      <c r="B267" s="981" t="s">
        <v>251</v>
      </c>
      <c r="C267" s="981" t="s">
        <v>287</v>
      </c>
      <c r="D267" s="981" t="s">
        <v>35</v>
      </c>
      <c r="E267" s="981">
        <v>25</v>
      </c>
      <c r="F267" s="981"/>
      <c r="G267" s="981"/>
      <c r="H267" s="981">
        <v>5</v>
      </c>
      <c r="I267" s="981">
        <v>15</v>
      </c>
      <c r="J267" s="981"/>
      <c r="K267" s="981"/>
      <c r="L267" s="981">
        <v>5</v>
      </c>
    </row>
    <row r="268" spans="1:12" x14ac:dyDescent="0.25">
      <c r="A268" s="981" t="s">
        <v>258</v>
      </c>
      <c r="B268" s="981" t="s">
        <v>251</v>
      </c>
      <c r="C268" s="981" t="s">
        <v>288</v>
      </c>
      <c r="D268" s="981" t="s">
        <v>36</v>
      </c>
      <c r="E268" s="981">
        <v>53</v>
      </c>
      <c r="F268" s="981"/>
      <c r="G268" s="981"/>
      <c r="H268" s="981">
        <v>10</v>
      </c>
      <c r="I268" s="981">
        <v>38</v>
      </c>
      <c r="J268" s="981"/>
      <c r="K268" s="981"/>
      <c r="L268" s="981">
        <v>5</v>
      </c>
    </row>
    <row r="269" spans="1:12" x14ac:dyDescent="0.25">
      <c r="A269" s="981" t="s">
        <v>258</v>
      </c>
      <c r="B269" s="981" t="s">
        <v>251</v>
      </c>
      <c r="C269" s="981" t="s">
        <v>289</v>
      </c>
      <c r="D269" s="981" t="s">
        <v>38</v>
      </c>
      <c r="E269" s="981">
        <v>47</v>
      </c>
      <c r="F269" s="981"/>
      <c r="G269" s="981"/>
      <c r="H269" s="981">
        <v>10</v>
      </c>
      <c r="I269" s="981">
        <v>32</v>
      </c>
      <c r="J269" s="981"/>
      <c r="K269" s="981"/>
      <c r="L269" s="981">
        <v>5</v>
      </c>
    </row>
    <row r="270" spans="1:12" x14ac:dyDescent="0.25">
      <c r="A270" s="981" t="s">
        <v>258</v>
      </c>
      <c r="B270" s="981" t="s">
        <v>251</v>
      </c>
      <c r="C270" s="981" t="s">
        <v>290</v>
      </c>
      <c r="D270" s="981" t="s">
        <v>40</v>
      </c>
      <c r="E270" s="981">
        <v>24</v>
      </c>
      <c r="F270" s="981"/>
      <c r="G270" s="981"/>
      <c r="H270" s="981">
        <v>5</v>
      </c>
      <c r="I270" s="981">
        <v>14</v>
      </c>
      <c r="J270" s="981"/>
      <c r="K270" s="981"/>
      <c r="L270" s="981">
        <v>5</v>
      </c>
    </row>
    <row r="271" spans="1:12" x14ac:dyDescent="0.25">
      <c r="A271" s="981" t="s">
        <v>258</v>
      </c>
      <c r="B271" s="981" t="s">
        <v>251</v>
      </c>
      <c r="C271" s="981" t="s">
        <v>291</v>
      </c>
      <c r="D271" s="981" t="s">
        <v>41</v>
      </c>
      <c r="E271" s="981">
        <v>52</v>
      </c>
      <c r="F271" s="981"/>
      <c r="G271" s="981"/>
      <c r="H271" s="981">
        <v>10</v>
      </c>
      <c r="I271" s="981">
        <v>31</v>
      </c>
      <c r="J271" s="981"/>
      <c r="K271" s="981"/>
      <c r="L271" s="981">
        <v>11</v>
      </c>
    </row>
    <row r="272" spans="1:12" x14ac:dyDescent="0.25">
      <c r="A272" s="981" t="s">
        <v>258</v>
      </c>
      <c r="B272" s="981" t="s">
        <v>251</v>
      </c>
      <c r="C272" s="981" t="s">
        <v>293</v>
      </c>
      <c r="D272" s="981" t="s">
        <v>42</v>
      </c>
      <c r="E272" s="981">
        <v>88</v>
      </c>
      <c r="F272" s="981"/>
      <c r="G272" s="981"/>
      <c r="H272" s="981">
        <v>20</v>
      </c>
      <c r="I272" s="981">
        <v>53</v>
      </c>
      <c r="J272" s="981"/>
      <c r="K272" s="981"/>
      <c r="L272" s="981">
        <v>15</v>
      </c>
    </row>
    <row r="273" spans="1:12" x14ac:dyDescent="0.25">
      <c r="A273" s="981" t="s">
        <v>258</v>
      </c>
      <c r="B273" s="981" t="s">
        <v>251</v>
      </c>
      <c r="C273" s="981" t="s">
        <v>294</v>
      </c>
      <c r="D273" s="981" t="s">
        <v>44</v>
      </c>
      <c r="E273" s="981">
        <v>70</v>
      </c>
      <c r="F273" s="981"/>
      <c r="G273" s="981"/>
      <c r="H273" s="981">
        <v>15</v>
      </c>
      <c r="I273" s="981">
        <v>50</v>
      </c>
      <c r="J273" s="981"/>
      <c r="K273" s="981"/>
      <c r="L273" s="981">
        <v>5</v>
      </c>
    </row>
    <row r="274" spans="1:12" x14ac:dyDescent="0.25">
      <c r="A274" s="981" t="s">
        <v>258</v>
      </c>
      <c r="B274" s="981" t="s">
        <v>251</v>
      </c>
      <c r="C274" s="981" t="s">
        <v>295</v>
      </c>
      <c r="D274" s="981" t="s">
        <v>45</v>
      </c>
      <c r="E274" s="981">
        <v>72</v>
      </c>
      <c r="F274" s="981"/>
      <c r="G274" s="981"/>
      <c r="H274" s="981">
        <v>15</v>
      </c>
      <c r="I274" s="981">
        <v>47</v>
      </c>
      <c r="J274" s="981"/>
      <c r="K274" s="981"/>
      <c r="L274" s="981">
        <v>10</v>
      </c>
    </row>
    <row r="275" spans="1:12" x14ac:dyDescent="0.25">
      <c r="A275" s="981" t="s">
        <v>258</v>
      </c>
      <c r="B275" s="981" t="s">
        <v>251</v>
      </c>
      <c r="C275" s="981" t="s">
        <v>296</v>
      </c>
      <c r="D275" s="981" t="s">
        <v>46</v>
      </c>
      <c r="E275" s="981">
        <v>26</v>
      </c>
      <c r="F275" s="981"/>
      <c r="G275" s="981"/>
      <c r="H275" s="981">
        <v>4</v>
      </c>
      <c r="I275" s="981">
        <v>17</v>
      </c>
      <c r="J275" s="981"/>
      <c r="K275" s="981"/>
      <c r="L275" s="981">
        <v>5</v>
      </c>
    </row>
    <row r="276" spans="1:12" x14ac:dyDescent="0.25">
      <c r="A276" s="981" t="s">
        <v>258</v>
      </c>
      <c r="B276" s="981" t="s">
        <v>251</v>
      </c>
      <c r="C276" s="981" t="s">
        <v>297</v>
      </c>
      <c r="D276" s="981" t="s">
        <v>47</v>
      </c>
      <c r="E276" s="981">
        <v>30</v>
      </c>
      <c r="F276" s="981"/>
      <c r="G276" s="981"/>
      <c r="H276" s="981">
        <v>5</v>
      </c>
      <c r="I276" s="981">
        <v>20</v>
      </c>
      <c r="J276" s="981"/>
      <c r="K276" s="981"/>
      <c r="L276" s="981">
        <v>5</v>
      </c>
    </row>
    <row r="277" spans="1:12" x14ac:dyDescent="0.25">
      <c r="A277" s="981" t="s">
        <v>258</v>
      </c>
      <c r="B277" s="981" t="s">
        <v>251</v>
      </c>
      <c r="C277" s="981" t="s">
        <v>298</v>
      </c>
      <c r="D277" s="981" t="s">
        <v>49</v>
      </c>
      <c r="E277" s="981">
        <v>76</v>
      </c>
      <c r="F277" s="981"/>
      <c r="G277" s="981"/>
      <c r="H277" s="981">
        <v>15</v>
      </c>
      <c r="I277" s="981">
        <v>45</v>
      </c>
      <c r="J277" s="981"/>
      <c r="K277" s="981"/>
      <c r="L277" s="981">
        <v>16</v>
      </c>
    </row>
    <row r="278" spans="1:12" x14ac:dyDescent="0.25">
      <c r="A278" s="981" t="s">
        <v>258</v>
      </c>
      <c r="B278" s="981" t="s">
        <v>251</v>
      </c>
      <c r="C278" s="981" t="s">
        <v>300</v>
      </c>
      <c r="D278" s="981" t="s">
        <v>52</v>
      </c>
      <c r="E278" s="981">
        <v>69</v>
      </c>
      <c r="F278" s="981"/>
      <c r="G278" s="981"/>
      <c r="H278" s="981">
        <v>10</v>
      </c>
      <c r="I278" s="981">
        <v>54</v>
      </c>
      <c r="J278" s="981"/>
      <c r="K278" s="981"/>
      <c r="L278" s="981">
        <v>5</v>
      </c>
    </row>
    <row r="279" spans="1:12" x14ac:dyDescent="0.25">
      <c r="A279" s="981" t="s">
        <v>258</v>
      </c>
      <c r="B279" s="981" t="s">
        <v>251</v>
      </c>
      <c r="C279" s="981" t="s">
        <v>301</v>
      </c>
      <c r="D279" s="981" t="s">
        <v>54</v>
      </c>
      <c r="E279" s="981">
        <v>56</v>
      </c>
      <c r="F279" s="981"/>
      <c r="G279" s="981"/>
      <c r="H279" s="981">
        <v>10</v>
      </c>
      <c r="I279" s="981">
        <v>36</v>
      </c>
      <c r="J279" s="981"/>
      <c r="K279" s="981"/>
      <c r="L279" s="981">
        <v>10</v>
      </c>
    </row>
    <row r="280" spans="1:12" x14ac:dyDescent="0.25">
      <c r="A280" s="981" t="s">
        <v>258</v>
      </c>
      <c r="B280" s="981" t="s">
        <v>251</v>
      </c>
      <c r="C280" s="981" t="s">
        <v>303</v>
      </c>
      <c r="D280" s="981" t="s">
        <v>56</v>
      </c>
      <c r="E280" s="981">
        <v>50</v>
      </c>
      <c r="F280" s="981"/>
      <c r="G280" s="981"/>
      <c r="H280" s="981">
        <v>11</v>
      </c>
      <c r="I280" s="981">
        <v>34</v>
      </c>
      <c r="J280" s="981"/>
      <c r="K280" s="981"/>
      <c r="L280" s="981">
        <v>5</v>
      </c>
    </row>
    <row r="281" spans="1:12" x14ac:dyDescent="0.25">
      <c r="A281" s="981" t="s">
        <v>258</v>
      </c>
      <c r="B281" s="981" t="s">
        <v>251</v>
      </c>
      <c r="C281" s="981" t="s">
        <v>304</v>
      </c>
      <c r="D281" s="981" t="s">
        <v>57</v>
      </c>
      <c r="E281" s="981">
        <v>167</v>
      </c>
      <c r="F281" s="981"/>
      <c r="G281" s="981"/>
      <c r="H281" s="981">
        <v>36</v>
      </c>
      <c r="I281" s="981">
        <v>111</v>
      </c>
      <c r="J281" s="981"/>
      <c r="K281" s="981"/>
      <c r="L281" s="981">
        <v>20</v>
      </c>
    </row>
    <row r="282" spans="1:12" x14ac:dyDescent="0.25">
      <c r="A282" s="981" t="s">
        <v>258</v>
      </c>
      <c r="B282" s="981" t="s">
        <v>251</v>
      </c>
      <c r="C282" s="981" t="s">
        <v>305</v>
      </c>
      <c r="D282" s="981" t="s">
        <v>58</v>
      </c>
      <c r="E282" s="981">
        <v>49</v>
      </c>
      <c r="F282" s="981"/>
      <c r="G282" s="981"/>
      <c r="H282" s="981">
        <v>10</v>
      </c>
      <c r="I282" s="981">
        <v>34</v>
      </c>
      <c r="J282" s="981"/>
      <c r="K282" s="981"/>
      <c r="L282" s="981">
        <v>5</v>
      </c>
    </row>
    <row r="283" spans="1:12" x14ac:dyDescent="0.25">
      <c r="A283" s="981" t="s">
        <v>258</v>
      </c>
      <c r="B283" s="981" t="s">
        <v>251</v>
      </c>
      <c r="C283" s="981" t="s">
        <v>306</v>
      </c>
      <c r="D283" s="981" t="s">
        <v>31</v>
      </c>
      <c r="E283" s="981">
        <v>153</v>
      </c>
      <c r="F283" s="981"/>
      <c r="G283" s="981"/>
      <c r="H283" s="981">
        <v>35</v>
      </c>
      <c r="I283" s="981">
        <v>103</v>
      </c>
      <c r="J283" s="981"/>
      <c r="K283" s="981"/>
      <c r="L283" s="981">
        <v>15</v>
      </c>
    </row>
    <row r="284" spans="1:12" x14ac:dyDescent="0.25">
      <c r="A284" s="981" t="s">
        <v>258</v>
      </c>
      <c r="B284" s="981" t="s">
        <v>251</v>
      </c>
      <c r="C284" s="981" t="s">
        <v>307</v>
      </c>
      <c r="D284" s="981" t="s">
        <v>32</v>
      </c>
      <c r="E284" s="981">
        <v>30</v>
      </c>
      <c r="F284" s="981"/>
      <c r="G284" s="981"/>
      <c r="H284" s="981">
        <v>5</v>
      </c>
      <c r="I284" s="981">
        <v>20</v>
      </c>
      <c r="J284" s="981"/>
      <c r="K284" s="981"/>
      <c r="L284" s="981">
        <v>5</v>
      </c>
    </row>
    <row r="285" spans="1:12" x14ac:dyDescent="0.25">
      <c r="A285" s="981" t="s">
        <v>258</v>
      </c>
      <c r="B285" s="981" t="s">
        <v>251</v>
      </c>
      <c r="C285" s="981" t="s">
        <v>308</v>
      </c>
      <c r="D285" s="981" t="s">
        <v>34</v>
      </c>
      <c r="E285" s="981">
        <v>54</v>
      </c>
      <c r="F285" s="981"/>
      <c r="G285" s="981"/>
      <c r="H285" s="981">
        <v>11</v>
      </c>
      <c r="I285" s="981">
        <v>33</v>
      </c>
      <c r="J285" s="981"/>
      <c r="K285" s="981"/>
      <c r="L285" s="981">
        <v>10</v>
      </c>
    </row>
    <row r="286" spans="1:12" x14ac:dyDescent="0.25">
      <c r="A286" s="981" t="s">
        <v>258</v>
      </c>
      <c r="B286" s="981" t="s">
        <v>251</v>
      </c>
      <c r="C286" s="981" t="s">
        <v>309</v>
      </c>
      <c r="D286" s="981" t="s">
        <v>262</v>
      </c>
      <c r="E286" s="981">
        <v>297</v>
      </c>
      <c r="F286" s="981"/>
      <c r="G286" s="981"/>
      <c r="H286" s="981">
        <v>59</v>
      </c>
      <c r="I286" s="981">
        <v>203</v>
      </c>
      <c r="J286" s="981"/>
      <c r="K286" s="981"/>
      <c r="L286" s="981">
        <v>35</v>
      </c>
    </row>
    <row r="287" spans="1:12" x14ac:dyDescent="0.25">
      <c r="A287" s="981" t="s">
        <v>258</v>
      </c>
      <c r="B287" s="981" t="s">
        <v>251</v>
      </c>
      <c r="C287" s="981" t="s">
        <v>310</v>
      </c>
      <c r="D287" s="981" t="s">
        <v>53</v>
      </c>
      <c r="E287" s="981">
        <v>99</v>
      </c>
      <c r="F287" s="981"/>
      <c r="G287" s="981"/>
      <c r="H287" s="981">
        <v>18</v>
      </c>
      <c r="I287" s="981">
        <v>65</v>
      </c>
      <c r="J287" s="981"/>
      <c r="K287" s="981"/>
      <c r="L287" s="981">
        <v>16</v>
      </c>
    </row>
    <row r="288" spans="1:12" x14ac:dyDescent="0.25">
      <c r="A288" s="981" t="s">
        <v>258</v>
      </c>
      <c r="B288" s="981" t="s">
        <v>251</v>
      </c>
      <c r="C288" s="981" t="s">
        <v>311</v>
      </c>
      <c r="D288" s="981" t="s">
        <v>59</v>
      </c>
      <c r="E288" s="981">
        <v>73</v>
      </c>
      <c r="F288" s="981"/>
      <c r="G288" s="981"/>
      <c r="H288" s="981">
        <v>15</v>
      </c>
      <c r="I288" s="981">
        <v>48</v>
      </c>
      <c r="J288" s="981"/>
      <c r="K288" s="981"/>
      <c r="L288" s="981">
        <v>10</v>
      </c>
    </row>
    <row r="289" spans="1:12" x14ac:dyDescent="0.25">
      <c r="A289" s="981" t="s">
        <v>258</v>
      </c>
      <c r="B289" s="981" t="s">
        <v>251</v>
      </c>
      <c r="C289" s="981" t="s">
        <v>312</v>
      </c>
      <c r="D289" s="981" t="s">
        <v>60</v>
      </c>
      <c r="E289" s="981">
        <v>56</v>
      </c>
      <c r="F289" s="981"/>
      <c r="G289" s="981"/>
      <c r="H289" s="981">
        <v>10</v>
      </c>
      <c r="I289" s="981">
        <v>36</v>
      </c>
      <c r="J289" s="981"/>
      <c r="K289" s="981"/>
      <c r="L289" s="981">
        <v>10</v>
      </c>
    </row>
    <row r="290" spans="1:12" x14ac:dyDescent="0.25">
      <c r="A290" s="981" t="s">
        <v>258</v>
      </c>
      <c r="B290" s="981" t="s">
        <v>251</v>
      </c>
      <c r="C290" s="981" t="s">
        <v>313</v>
      </c>
      <c r="D290" s="981" t="s">
        <v>33</v>
      </c>
      <c r="E290" s="981">
        <v>28</v>
      </c>
      <c r="F290" s="981"/>
      <c r="G290" s="981"/>
      <c r="H290" s="981">
        <v>5</v>
      </c>
      <c r="I290" s="981">
        <v>18</v>
      </c>
      <c r="J290" s="981"/>
      <c r="K290" s="981"/>
      <c r="L290" s="981">
        <v>5</v>
      </c>
    </row>
    <row r="291" spans="1:12" x14ac:dyDescent="0.25">
      <c r="A291" s="981" t="s">
        <v>258</v>
      </c>
      <c r="B291" s="981" t="s">
        <v>251</v>
      </c>
      <c r="C291" s="981" t="s">
        <v>314</v>
      </c>
      <c r="D291" s="981" t="s">
        <v>37</v>
      </c>
      <c r="E291" s="981">
        <v>177</v>
      </c>
      <c r="F291" s="981"/>
      <c r="G291" s="981"/>
      <c r="H291" s="981">
        <v>35</v>
      </c>
      <c r="I291" s="981">
        <v>122</v>
      </c>
      <c r="J291" s="981"/>
      <c r="K291" s="981"/>
      <c r="L291" s="981">
        <v>20</v>
      </c>
    </row>
    <row r="292" spans="1:12" x14ac:dyDescent="0.25">
      <c r="A292" s="981" t="s">
        <v>258</v>
      </c>
      <c r="B292" s="981" t="s">
        <v>251</v>
      </c>
      <c r="C292" s="981" t="s">
        <v>315</v>
      </c>
      <c r="D292" s="981" t="s">
        <v>50</v>
      </c>
      <c r="E292" s="981">
        <v>166</v>
      </c>
      <c r="F292" s="981"/>
      <c r="G292" s="981"/>
      <c r="H292" s="981">
        <v>35</v>
      </c>
      <c r="I292" s="981">
        <v>111</v>
      </c>
      <c r="J292" s="981"/>
      <c r="K292" s="981"/>
      <c r="L292" s="981">
        <v>20</v>
      </c>
    </row>
    <row r="293" spans="1:12" x14ac:dyDescent="0.25">
      <c r="A293" s="981" t="s">
        <v>258</v>
      </c>
      <c r="B293" s="981" t="s">
        <v>251</v>
      </c>
      <c r="C293" s="981" t="s">
        <v>316</v>
      </c>
      <c r="D293" s="981" t="s">
        <v>39</v>
      </c>
      <c r="E293" s="981">
        <v>78</v>
      </c>
      <c r="F293" s="981"/>
      <c r="G293" s="981"/>
      <c r="H293" s="981">
        <v>15</v>
      </c>
      <c r="I293" s="981">
        <v>47</v>
      </c>
      <c r="J293" s="981"/>
      <c r="K293" s="981"/>
      <c r="L293" s="981">
        <v>16</v>
      </c>
    </row>
    <row r="294" spans="1:12" x14ac:dyDescent="0.25">
      <c r="A294" s="981" t="s">
        <v>258</v>
      </c>
      <c r="B294" s="981" t="s">
        <v>251</v>
      </c>
      <c r="C294" s="981" t="s">
        <v>317</v>
      </c>
      <c r="D294" s="981" t="s">
        <v>124</v>
      </c>
      <c r="E294" s="981">
        <v>515</v>
      </c>
      <c r="F294" s="981"/>
      <c r="G294" s="981"/>
      <c r="H294" s="981">
        <v>110</v>
      </c>
      <c r="I294" s="981">
        <v>349</v>
      </c>
      <c r="J294" s="981"/>
      <c r="K294" s="981"/>
      <c r="L294" s="981">
        <v>56</v>
      </c>
    </row>
    <row r="295" spans="1:12" x14ac:dyDescent="0.25">
      <c r="A295" s="981" t="s">
        <v>258</v>
      </c>
      <c r="B295" s="981" t="s">
        <v>251</v>
      </c>
      <c r="C295" s="981" t="s">
        <v>318</v>
      </c>
      <c r="D295" s="981" t="s">
        <v>43</v>
      </c>
      <c r="E295" s="981">
        <v>274</v>
      </c>
      <c r="F295" s="981"/>
      <c r="G295" s="981"/>
      <c r="H295" s="981">
        <v>48</v>
      </c>
      <c r="I295" s="981">
        <v>199</v>
      </c>
      <c r="J295" s="981"/>
      <c r="K295" s="981"/>
      <c r="L295" s="981">
        <v>27</v>
      </c>
    </row>
    <row r="296" spans="1:12" x14ac:dyDescent="0.25">
      <c r="A296" s="981" t="s">
        <v>258</v>
      </c>
      <c r="B296" s="981" t="s">
        <v>252</v>
      </c>
      <c r="C296" s="981" t="s">
        <v>374</v>
      </c>
      <c r="D296" s="981" t="s">
        <v>31</v>
      </c>
      <c r="E296" s="981">
        <v>17</v>
      </c>
      <c r="F296" s="981">
        <v>1</v>
      </c>
      <c r="G296" s="981"/>
      <c r="H296" s="981">
        <v>2</v>
      </c>
      <c r="I296" s="981">
        <v>2</v>
      </c>
      <c r="J296" s="981">
        <v>2</v>
      </c>
      <c r="K296" s="981">
        <v>4</v>
      </c>
      <c r="L296" s="981">
        <v>6</v>
      </c>
    </row>
    <row r="297" spans="1:12" x14ac:dyDescent="0.25">
      <c r="A297" s="981" t="s">
        <v>258</v>
      </c>
      <c r="B297" s="981" t="s">
        <v>252</v>
      </c>
      <c r="C297" s="981" t="s">
        <v>375</v>
      </c>
      <c r="D297" s="981" t="s">
        <v>64</v>
      </c>
      <c r="E297" s="981">
        <v>25</v>
      </c>
      <c r="F297" s="981">
        <v>1</v>
      </c>
      <c r="G297" s="981"/>
      <c r="H297" s="981">
        <v>6</v>
      </c>
      <c r="I297" s="981"/>
      <c r="J297" s="981">
        <v>2</v>
      </c>
      <c r="K297" s="981">
        <v>8</v>
      </c>
      <c r="L297" s="981">
        <v>8</v>
      </c>
    </row>
    <row r="298" spans="1:12" x14ac:dyDescent="0.25">
      <c r="A298" s="981" t="s">
        <v>258</v>
      </c>
      <c r="B298" s="981" t="s">
        <v>252</v>
      </c>
      <c r="C298" s="981" t="s">
        <v>377</v>
      </c>
      <c r="D298" s="981" t="s">
        <v>65</v>
      </c>
      <c r="E298" s="981">
        <v>26</v>
      </c>
      <c r="F298" s="981">
        <v>1</v>
      </c>
      <c r="G298" s="981"/>
      <c r="H298" s="981">
        <v>6</v>
      </c>
      <c r="I298" s="981">
        <v>2</v>
      </c>
      <c r="J298" s="981">
        <v>3</v>
      </c>
      <c r="K298" s="981">
        <v>8</v>
      </c>
      <c r="L298" s="981">
        <v>6</v>
      </c>
    </row>
    <row r="299" spans="1:12" x14ac:dyDescent="0.25">
      <c r="A299" s="981" t="s">
        <v>258</v>
      </c>
      <c r="B299" s="981" t="s">
        <v>252</v>
      </c>
      <c r="C299" s="981" t="s">
        <v>378</v>
      </c>
      <c r="D299" s="981" t="s">
        <v>36</v>
      </c>
      <c r="E299" s="981">
        <v>22</v>
      </c>
      <c r="F299" s="981">
        <v>1</v>
      </c>
      <c r="G299" s="981"/>
      <c r="H299" s="981">
        <v>4</v>
      </c>
      <c r="I299" s="981">
        <v>2</v>
      </c>
      <c r="J299" s="981">
        <v>2</v>
      </c>
      <c r="K299" s="981">
        <v>6</v>
      </c>
      <c r="L299" s="981">
        <v>7</v>
      </c>
    </row>
    <row r="300" spans="1:12" x14ac:dyDescent="0.25">
      <c r="A300" s="981" t="s">
        <v>258</v>
      </c>
      <c r="B300" s="981" t="s">
        <v>252</v>
      </c>
      <c r="C300" s="981" t="s">
        <v>379</v>
      </c>
      <c r="D300" s="981" t="s">
        <v>68</v>
      </c>
      <c r="E300" s="981">
        <v>25</v>
      </c>
      <c r="F300" s="981">
        <v>1</v>
      </c>
      <c r="G300" s="981"/>
      <c r="H300" s="981">
        <v>2</v>
      </c>
      <c r="I300" s="981">
        <v>2</v>
      </c>
      <c r="J300" s="981">
        <v>3</v>
      </c>
      <c r="K300" s="981">
        <v>9</v>
      </c>
      <c r="L300" s="981">
        <v>8</v>
      </c>
    </row>
    <row r="301" spans="1:12" x14ac:dyDescent="0.25">
      <c r="A301" s="981" t="s">
        <v>258</v>
      </c>
      <c r="B301" s="981" t="s">
        <v>252</v>
      </c>
      <c r="C301" s="981" t="s">
        <v>380</v>
      </c>
      <c r="D301" s="981" t="s">
        <v>69</v>
      </c>
      <c r="E301" s="981">
        <v>25</v>
      </c>
      <c r="F301" s="981">
        <v>1</v>
      </c>
      <c r="G301" s="981"/>
      <c r="H301" s="981">
        <v>2</v>
      </c>
      <c r="I301" s="981">
        <v>3</v>
      </c>
      <c r="J301" s="981">
        <v>3</v>
      </c>
      <c r="K301" s="981">
        <v>7</v>
      </c>
      <c r="L301" s="981">
        <v>9</v>
      </c>
    </row>
    <row r="302" spans="1:12" x14ac:dyDescent="0.25">
      <c r="A302" s="981" t="s">
        <v>258</v>
      </c>
      <c r="B302" s="981" t="s">
        <v>252</v>
      </c>
      <c r="C302" s="981" t="s">
        <v>381</v>
      </c>
      <c r="D302" s="981" t="s">
        <v>70</v>
      </c>
      <c r="E302" s="981">
        <v>14</v>
      </c>
      <c r="F302" s="981">
        <v>1</v>
      </c>
      <c r="G302" s="981"/>
      <c r="H302" s="981"/>
      <c r="I302" s="981">
        <v>2</v>
      </c>
      <c r="J302" s="981">
        <v>4</v>
      </c>
      <c r="K302" s="981">
        <v>4</v>
      </c>
      <c r="L302" s="981">
        <v>3</v>
      </c>
    </row>
    <row r="303" spans="1:12" x14ac:dyDescent="0.25">
      <c r="A303" s="981" t="s">
        <v>258</v>
      </c>
      <c r="B303" s="981" t="s">
        <v>252</v>
      </c>
      <c r="C303" s="981" t="s">
        <v>382</v>
      </c>
      <c r="D303" s="981" t="s">
        <v>178</v>
      </c>
      <c r="E303" s="981">
        <v>30</v>
      </c>
      <c r="F303" s="981">
        <v>1</v>
      </c>
      <c r="G303" s="981"/>
      <c r="H303" s="981">
        <v>5</v>
      </c>
      <c r="I303" s="981">
        <v>3</v>
      </c>
      <c r="J303" s="981">
        <v>5</v>
      </c>
      <c r="K303" s="981">
        <v>4</v>
      </c>
      <c r="L303" s="981">
        <v>12</v>
      </c>
    </row>
    <row r="304" spans="1:12" x14ac:dyDescent="0.25">
      <c r="A304" s="981" t="s">
        <v>258</v>
      </c>
      <c r="B304" s="981" t="s">
        <v>252</v>
      </c>
      <c r="C304" s="981" t="s">
        <v>383</v>
      </c>
      <c r="D304" s="981" t="s">
        <v>71</v>
      </c>
      <c r="E304" s="981">
        <v>20</v>
      </c>
      <c r="F304" s="981">
        <v>1</v>
      </c>
      <c r="G304" s="981"/>
      <c r="H304" s="981">
        <v>3</v>
      </c>
      <c r="I304" s="981">
        <v>2</v>
      </c>
      <c r="J304" s="981">
        <v>2</v>
      </c>
      <c r="K304" s="981">
        <v>6</v>
      </c>
      <c r="L304" s="981">
        <v>6</v>
      </c>
    </row>
    <row r="305" spans="1:12" x14ac:dyDescent="0.25">
      <c r="A305" s="981" t="s">
        <v>258</v>
      </c>
      <c r="B305" s="981" t="s">
        <v>252</v>
      </c>
      <c r="C305" s="981" t="s">
        <v>385</v>
      </c>
      <c r="D305" s="981" t="s">
        <v>124</v>
      </c>
      <c r="E305" s="981">
        <v>25</v>
      </c>
      <c r="F305" s="981">
        <v>1</v>
      </c>
      <c r="G305" s="981"/>
      <c r="H305" s="981">
        <v>2</v>
      </c>
      <c r="I305" s="981">
        <v>2</v>
      </c>
      <c r="J305" s="981">
        <v>4</v>
      </c>
      <c r="K305" s="981">
        <v>9</v>
      </c>
      <c r="L305" s="981">
        <v>7</v>
      </c>
    </row>
    <row r="306" spans="1:12" x14ac:dyDescent="0.25">
      <c r="A306" s="981" t="s">
        <v>258</v>
      </c>
      <c r="B306" s="981" t="s">
        <v>252</v>
      </c>
      <c r="C306" s="981" t="s">
        <v>386</v>
      </c>
      <c r="D306" s="981" t="s">
        <v>72</v>
      </c>
      <c r="E306" s="981">
        <v>43</v>
      </c>
      <c r="F306" s="981">
        <v>1</v>
      </c>
      <c r="G306" s="981"/>
      <c r="H306" s="981">
        <v>9</v>
      </c>
      <c r="I306" s="981">
        <v>1</v>
      </c>
      <c r="J306" s="981">
        <v>4</v>
      </c>
      <c r="K306" s="981">
        <v>14</v>
      </c>
      <c r="L306" s="981">
        <v>16</v>
      </c>
    </row>
    <row r="307" spans="1:12" x14ac:dyDescent="0.25">
      <c r="A307" s="981" t="s">
        <v>258</v>
      </c>
      <c r="B307" s="981" t="s">
        <v>252</v>
      </c>
      <c r="C307" s="981" t="s">
        <v>387</v>
      </c>
      <c r="D307" s="981" t="s">
        <v>50</v>
      </c>
      <c r="E307" s="981">
        <v>17</v>
      </c>
      <c r="F307" s="981">
        <v>1</v>
      </c>
      <c r="G307" s="981"/>
      <c r="H307" s="981">
        <v>2</v>
      </c>
      <c r="I307" s="981">
        <v>1</v>
      </c>
      <c r="J307" s="981">
        <v>2</v>
      </c>
      <c r="K307" s="981">
        <v>5</v>
      </c>
      <c r="L307" s="981">
        <v>6</v>
      </c>
    </row>
    <row r="308" spans="1:12" x14ac:dyDescent="0.25">
      <c r="A308" s="981" t="s">
        <v>258</v>
      </c>
      <c r="B308" s="981" t="s">
        <v>252</v>
      </c>
      <c r="C308" s="981" t="s">
        <v>388</v>
      </c>
      <c r="D308" s="981" t="s">
        <v>57</v>
      </c>
      <c r="E308" s="981">
        <v>16</v>
      </c>
      <c r="F308" s="981">
        <v>1</v>
      </c>
      <c r="G308" s="981"/>
      <c r="H308" s="981">
        <v>2</v>
      </c>
      <c r="I308" s="981">
        <v>1</v>
      </c>
      <c r="J308" s="981">
        <v>2</v>
      </c>
      <c r="K308" s="981">
        <v>6</v>
      </c>
      <c r="L308" s="981">
        <v>4</v>
      </c>
    </row>
    <row r="309" spans="1:12" x14ac:dyDescent="0.25">
      <c r="A309" s="981" t="s">
        <v>258</v>
      </c>
      <c r="B309" s="981" t="s">
        <v>252</v>
      </c>
      <c r="C309" s="981" t="s">
        <v>389</v>
      </c>
      <c r="D309" s="981" t="s">
        <v>73</v>
      </c>
      <c r="E309" s="981">
        <v>18</v>
      </c>
      <c r="F309" s="981">
        <v>1</v>
      </c>
      <c r="G309" s="981"/>
      <c r="H309" s="981">
        <v>3</v>
      </c>
      <c r="I309" s="981">
        <v>1</v>
      </c>
      <c r="J309" s="981">
        <v>2</v>
      </c>
      <c r="K309" s="981">
        <v>6</v>
      </c>
      <c r="L309" s="981">
        <v>5</v>
      </c>
    </row>
    <row r="310" spans="1:12" x14ac:dyDescent="0.25">
      <c r="A310" s="981" t="s">
        <v>258</v>
      </c>
      <c r="B310" s="981" t="s">
        <v>252</v>
      </c>
      <c r="C310" s="981" t="s">
        <v>390</v>
      </c>
      <c r="D310" s="981" t="s">
        <v>74</v>
      </c>
      <c r="E310" s="981">
        <v>16</v>
      </c>
      <c r="F310" s="981">
        <v>1</v>
      </c>
      <c r="G310" s="981"/>
      <c r="H310" s="981">
        <v>3</v>
      </c>
      <c r="I310" s="981"/>
      <c r="J310" s="981">
        <v>3</v>
      </c>
      <c r="K310" s="981">
        <v>5</v>
      </c>
      <c r="L310" s="981">
        <v>4</v>
      </c>
    </row>
    <row r="311" spans="1:12" x14ac:dyDescent="0.25">
      <c r="A311" s="981" t="s">
        <v>258</v>
      </c>
      <c r="B311" s="981" t="s">
        <v>252</v>
      </c>
      <c r="C311" s="981" t="s">
        <v>376</v>
      </c>
      <c r="D311" s="981" t="s">
        <v>67</v>
      </c>
      <c r="E311" s="981">
        <v>29</v>
      </c>
      <c r="F311" s="981">
        <v>1</v>
      </c>
      <c r="G311" s="981"/>
      <c r="H311" s="981">
        <v>3</v>
      </c>
      <c r="I311" s="981">
        <v>2</v>
      </c>
      <c r="J311" s="981">
        <v>4</v>
      </c>
      <c r="K311" s="981">
        <v>8</v>
      </c>
      <c r="L311" s="981">
        <v>11</v>
      </c>
    </row>
    <row r="312" spans="1:12" x14ac:dyDescent="0.25">
      <c r="A312" s="981" t="s">
        <v>258</v>
      </c>
      <c r="B312" s="981" t="s">
        <v>252</v>
      </c>
      <c r="C312" s="981" t="s">
        <v>384</v>
      </c>
      <c r="D312" s="981" t="s">
        <v>43</v>
      </c>
      <c r="E312" s="981">
        <v>18</v>
      </c>
      <c r="F312" s="981"/>
      <c r="G312" s="981"/>
      <c r="H312" s="981"/>
      <c r="I312" s="981">
        <v>4</v>
      </c>
      <c r="J312" s="981">
        <v>2</v>
      </c>
      <c r="K312" s="981">
        <v>6</v>
      </c>
      <c r="L312" s="981">
        <v>6</v>
      </c>
    </row>
    <row r="313" spans="1:12" x14ac:dyDescent="0.25">
      <c r="A313" s="981" t="s">
        <v>258</v>
      </c>
      <c r="B313" s="981" t="s">
        <v>253</v>
      </c>
      <c r="C313" s="981" t="s">
        <v>412</v>
      </c>
      <c r="D313" s="981" t="s">
        <v>176</v>
      </c>
      <c r="E313" s="981">
        <v>79</v>
      </c>
      <c r="F313" s="981">
        <v>1</v>
      </c>
      <c r="G313" s="981"/>
      <c r="H313" s="981">
        <v>26</v>
      </c>
      <c r="I313" s="981"/>
      <c r="J313" s="981">
        <v>5</v>
      </c>
      <c r="K313" s="981">
        <v>12</v>
      </c>
      <c r="L313" s="981">
        <v>35</v>
      </c>
    </row>
    <row r="314" spans="1:12" x14ac:dyDescent="0.25">
      <c r="A314" s="981" t="s">
        <v>258</v>
      </c>
      <c r="B314" s="981" t="s">
        <v>253</v>
      </c>
      <c r="C314" s="981" t="s">
        <v>411</v>
      </c>
      <c r="D314" s="981" t="s">
        <v>177</v>
      </c>
      <c r="E314" s="981">
        <v>37</v>
      </c>
      <c r="F314" s="981">
        <v>1</v>
      </c>
      <c r="G314" s="981"/>
      <c r="H314" s="981">
        <v>8</v>
      </c>
      <c r="I314" s="981"/>
      <c r="J314" s="981">
        <v>5</v>
      </c>
      <c r="K314" s="981">
        <v>5</v>
      </c>
      <c r="L314" s="981">
        <v>18</v>
      </c>
    </row>
    <row r="315" spans="1:12" x14ac:dyDescent="0.25">
      <c r="A315" s="981" t="s">
        <v>258</v>
      </c>
      <c r="B315" s="981" t="s">
        <v>253</v>
      </c>
      <c r="C315" s="981" t="s">
        <v>413</v>
      </c>
      <c r="D315" s="981" t="s">
        <v>175</v>
      </c>
      <c r="E315" s="981">
        <v>30</v>
      </c>
      <c r="F315" s="981">
        <v>1</v>
      </c>
      <c r="G315" s="981"/>
      <c r="H315" s="981">
        <v>7</v>
      </c>
      <c r="I315" s="981"/>
      <c r="J315" s="981">
        <v>4</v>
      </c>
      <c r="K315" s="981">
        <v>7</v>
      </c>
      <c r="L315" s="981">
        <v>11</v>
      </c>
    </row>
    <row r="316" spans="1:12" x14ac:dyDescent="0.25">
      <c r="A316" s="981" t="s">
        <v>258</v>
      </c>
      <c r="B316" s="981" t="s">
        <v>254</v>
      </c>
      <c r="C316" s="981" t="s">
        <v>391</v>
      </c>
      <c r="D316" s="981" t="s">
        <v>263</v>
      </c>
      <c r="E316" s="981">
        <v>149</v>
      </c>
      <c r="F316" s="981">
        <v>14</v>
      </c>
      <c r="G316" s="981">
        <v>4</v>
      </c>
      <c r="H316" s="981"/>
      <c r="I316" s="981">
        <v>60</v>
      </c>
      <c r="J316" s="981">
        <v>17</v>
      </c>
      <c r="K316" s="981">
        <v>8</v>
      </c>
      <c r="L316" s="981">
        <v>46</v>
      </c>
    </row>
  </sheetData>
  <mergeCells count="1">
    <mergeCell ref="A2:B2"/>
  </mergeCells>
  <pageMargins left="0.7" right="0.7" top="0.75" bottom="0.75" header="0.3" footer="0.3"/>
  <pageSetup paperSize="9" fitToHeight="5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H190"/>
  <sheetViews>
    <sheetView zoomScale="85" zoomScaleNormal="85" workbookViewId="0">
      <pane ySplit="4" topLeftCell="A23" activePane="bottomLeft" state="frozen"/>
      <selection activeCell="A5" sqref="A5"/>
      <selection pane="bottomLeft" activeCell="A5" sqref="A5"/>
    </sheetView>
  </sheetViews>
  <sheetFormatPr defaultRowHeight="15" x14ac:dyDescent="0.25"/>
  <sheetData>
    <row r="1" spans="1:8" ht="15.75" x14ac:dyDescent="0.25">
      <c r="A1" s="982" t="s">
        <v>919</v>
      </c>
    </row>
    <row r="2" spans="1:8" x14ac:dyDescent="0.25">
      <c r="A2" s="1047">
        <v>43700</v>
      </c>
      <c r="B2" s="1048"/>
    </row>
    <row r="4" spans="1:8" x14ac:dyDescent="0.25">
      <c r="A4" s="980" t="s">
        <v>274</v>
      </c>
      <c r="B4" s="980" t="s">
        <v>894</v>
      </c>
      <c r="C4" s="980" t="s">
        <v>261</v>
      </c>
      <c r="D4" s="980" t="s">
        <v>916</v>
      </c>
      <c r="E4" s="980" t="s">
        <v>26</v>
      </c>
      <c r="F4" s="980" t="s">
        <v>21</v>
      </c>
      <c r="G4" s="980" t="s">
        <v>22</v>
      </c>
      <c r="H4" s="980" t="s">
        <v>23</v>
      </c>
    </row>
    <row r="5" spans="1:8" x14ac:dyDescent="0.25">
      <c r="A5" s="981" t="s">
        <v>207</v>
      </c>
      <c r="B5" s="981" t="s">
        <v>251</v>
      </c>
      <c r="C5" s="981" t="s">
        <v>287</v>
      </c>
      <c r="D5" s="981" t="s">
        <v>35</v>
      </c>
      <c r="E5" s="981">
        <v>21</v>
      </c>
      <c r="F5" s="981">
        <v>2</v>
      </c>
      <c r="G5" s="981">
        <v>4</v>
      </c>
      <c r="H5" s="981">
        <v>15</v>
      </c>
    </row>
    <row r="6" spans="1:8" x14ac:dyDescent="0.25">
      <c r="A6" s="981" t="s">
        <v>207</v>
      </c>
      <c r="B6" s="981" t="s">
        <v>251</v>
      </c>
      <c r="C6" s="981" t="s">
        <v>288</v>
      </c>
      <c r="D6" s="981" t="s">
        <v>36</v>
      </c>
      <c r="E6" s="981">
        <v>198</v>
      </c>
      <c r="F6" s="981">
        <v>17</v>
      </c>
      <c r="G6" s="981">
        <v>34</v>
      </c>
      <c r="H6" s="981">
        <v>147</v>
      </c>
    </row>
    <row r="7" spans="1:8" x14ac:dyDescent="0.25">
      <c r="A7" s="981" t="s">
        <v>207</v>
      </c>
      <c r="B7" s="981" t="s">
        <v>251</v>
      </c>
      <c r="C7" s="981" t="s">
        <v>289</v>
      </c>
      <c r="D7" s="981" t="s">
        <v>38</v>
      </c>
      <c r="E7" s="981">
        <v>77</v>
      </c>
      <c r="F7" s="981">
        <v>9</v>
      </c>
      <c r="G7" s="981">
        <v>10</v>
      </c>
      <c r="H7" s="981">
        <v>58</v>
      </c>
    </row>
    <row r="8" spans="1:8" x14ac:dyDescent="0.25">
      <c r="A8" s="981" t="s">
        <v>207</v>
      </c>
      <c r="B8" s="981" t="s">
        <v>251</v>
      </c>
      <c r="C8" s="981" t="s">
        <v>290</v>
      </c>
      <c r="D8" s="981" t="s">
        <v>40</v>
      </c>
      <c r="E8" s="981">
        <v>52</v>
      </c>
      <c r="F8" s="981">
        <v>5</v>
      </c>
      <c r="G8" s="981">
        <v>9</v>
      </c>
      <c r="H8" s="981">
        <v>38</v>
      </c>
    </row>
    <row r="9" spans="1:8" x14ac:dyDescent="0.25">
      <c r="A9" s="981" t="s">
        <v>207</v>
      </c>
      <c r="B9" s="981" t="s">
        <v>251</v>
      </c>
      <c r="C9" s="981" t="s">
        <v>291</v>
      </c>
      <c r="D9" s="981" t="s">
        <v>41</v>
      </c>
      <c r="E9" s="981">
        <v>0</v>
      </c>
      <c r="F9" s="981">
        <v>0</v>
      </c>
      <c r="G9" s="981">
        <v>0</v>
      </c>
      <c r="H9" s="981">
        <v>0</v>
      </c>
    </row>
    <row r="10" spans="1:8" x14ac:dyDescent="0.25">
      <c r="A10" s="981" t="s">
        <v>207</v>
      </c>
      <c r="B10" s="981" t="s">
        <v>251</v>
      </c>
      <c r="C10" s="981" t="s">
        <v>292</v>
      </c>
      <c r="D10" s="981" t="s">
        <v>48</v>
      </c>
      <c r="E10" s="981">
        <v>132</v>
      </c>
      <c r="F10" s="981">
        <v>13</v>
      </c>
      <c r="G10" s="981">
        <v>25</v>
      </c>
      <c r="H10" s="981">
        <v>94</v>
      </c>
    </row>
    <row r="11" spans="1:8" x14ac:dyDescent="0.25">
      <c r="A11" s="981" t="s">
        <v>207</v>
      </c>
      <c r="B11" s="981" t="s">
        <v>251</v>
      </c>
      <c r="C11" s="981" t="s">
        <v>293</v>
      </c>
      <c r="D11" s="981" t="s">
        <v>42</v>
      </c>
      <c r="E11" s="981">
        <v>65</v>
      </c>
      <c r="F11" s="981">
        <v>5</v>
      </c>
      <c r="G11" s="981">
        <v>10</v>
      </c>
      <c r="H11" s="981">
        <v>50</v>
      </c>
    </row>
    <row r="12" spans="1:8" x14ac:dyDescent="0.25">
      <c r="A12" s="981" t="s">
        <v>207</v>
      </c>
      <c r="B12" s="981" t="s">
        <v>251</v>
      </c>
      <c r="C12" s="981" t="s">
        <v>294</v>
      </c>
      <c r="D12" s="981" t="s">
        <v>44</v>
      </c>
      <c r="E12" s="981">
        <v>564</v>
      </c>
      <c r="F12" s="981">
        <v>55</v>
      </c>
      <c r="G12" s="981">
        <v>115</v>
      </c>
      <c r="H12" s="981">
        <v>394</v>
      </c>
    </row>
    <row r="13" spans="1:8" x14ac:dyDescent="0.25">
      <c r="A13" s="981" t="s">
        <v>207</v>
      </c>
      <c r="B13" s="981" t="s">
        <v>251</v>
      </c>
      <c r="C13" s="981" t="s">
        <v>295</v>
      </c>
      <c r="D13" s="981" t="s">
        <v>45</v>
      </c>
      <c r="E13" s="981">
        <v>42</v>
      </c>
      <c r="F13" s="981">
        <v>3</v>
      </c>
      <c r="G13" s="981">
        <v>4</v>
      </c>
      <c r="H13" s="981">
        <v>35</v>
      </c>
    </row>
    <row r="14" spans="1:8" x14ac:dyDescent="0.25">
      <c r="A14" s="981" t="s">
        <v>207</v>
      </c>
      <c r="B14" s="981" t="s">
        <v>251</v>
      </c>
      <c r="C14" s="981" t="s">
        <v>296</v>
      </c>
      <c r="D14" s="981" t="s">
        <v>46</v>
      </c>
      <c r="E14" s="981">
        <v>10</v>
      </c>
      <c r="F14" s="981">
        <v>1</v>
      </c>
      <c r="G14" s="981">
        <v>2</v>
      </c>
      <c r="H14" s="981">
        <v>7</v>
      </c>
    </row>
    <row r="15" spans="1:8" x14ac:dyDescent="0.25">
      <c r="A15" s="981" t="s">
        <v>207</v>
      </c>
      <c r="B15" s="981" t="s">
        <v>251</v>
      </c>
      <c r="C15" s="981" t="s">
        <v>297</v>
      </c>
      <c r="D15" s="981" t="s">
        <v>47</v>
      </c>
      <c r="E15" s="981">
        <v>104</v>
      </c>
      <c r="F15" s="981">
        <v>9</v>
      </c>
      <c r="G15" s="981">
        <v>22</v>
      </c>
      <c r="H15" s="981">
        <v>73</v>
      </c>
    </row>
    <row r="16" spans="1:8" x14ac:dyDescent="0.25">
      <c r="A16" s="981" t="s">
        <v>207</v>
      </c>
      <c r="B16" s="981" t="s">
        <v>251</v>
      </c>
      <c r="C16" s="981" t="s">
        <v>298</v>
      </c>
      <c r="D16" s="981" t="s">
        <v>49</v>
      </c>
      <c r="E16" s="981">
        <v>94</v>
      </c>
      <c r="F16" s="981">
        <v>9</v>
      </c>
      <c r="G16" s="981">
        <v>15</v>
      </c>
      <c r="H16" s="981">
        <v>70</v>
      </c>
    </row>
    <row r="17" spans="1:8" x14ac:dyDescent="0.25">
      <c r="A17" s="981" t="s">
        <v>207</v>
      </c>
      <c r="B17" s="981" t="s">
        <v>251</v>
      </c>
      <c r="C17" s="981" t="s">
        <v>299</v>
      </c>
      <c r="D17" s="981" t="s">
        <v>51</v>
      </c>
      <c r="E17" s="981">
        <v>113</v>
      </c>
      <c r="F17" s="981">
        <v>12</v>
      </c>
      <c r="G17" s="981">
        <v>22</v>
      </c>
      <c r="H17" s="981">
        <v>79</v>
      </c>
    </row>
    <row r="18" spans="1:8" x14ac:dyDescent="0.25">
      <c r="A18" s="981" t="s">
        <v>207</v>
      </c>
      <c r="B18" s="981" t="s">
        <v>251</v>
      </c>
      <c r="C18" s="981" t="s">
        <v>300</v>
      </c>
      <c r="D18" s="981" t="s">
        <v>52</v>
      </c>
      <c r="E18" s="981">
        <v>140</v>
      </c>
      <c r="F18" s="981">
        <v>10</v>
      </c>
      <c r="G18" s="981">
        <v>25</v>
      </c>
      <c r="H18" s="981">
        <v>105</v>
      </c>
    </row>
    <row r="19" spans="1:8" x14ac:dyDescent="0.25">
      <c r="A19" s="981" t="s">
        <v>207</v>
      </c>
      <c r="B19" s="981" t="s">
        <v>251</v>
      </c>
      <c r="C19" s="981" t="s">
        <v>301</v>
      </c>
      <c r="D19" s="981" t="s">
        <v>54</v>
      </c>
      <c r="E19" s="981">
        <v>134</v>
      </c>
      <c r="F19" s="981">
        <v>13</v>
      </c>
      <c r="G19" s="981">
        <v>25</v>
      </c>
      <c r="H19" s="981">
        <v>96</v>
      </c>
    </row>
    <row r="20" spans="1:8" x14ac:dyDescent="0.25">
      <c r="A20" s="981" t="s">
        <v>207</v>
      </c>
      <c r="B20" s="981" t="s">
        <v>251</v>
      </c>
      <c r="C20" s="981" t="s">
        <v>302</v>
      </c>
      <c r="D20" s="981" t="s">
        <v>55</v>
      </c>
      <c r="E20" s="981">
        <v>134</v>
      </c>
      <c r="F20" s="981">
        <v>13</v>
      </c>
      <c r="G20" s="981">
        <v>29</v>
      </c>
      <c r="H20" s="981">
        <v>92</v>
      </c>
    </row>
    <row r="21" spans="1:8" x14ac:dyDescent="0.25">
      <c r="A21" s="981" t="s">
        <v>207</v>
      </c>
      <c r="B21" s="981" t="s">
        <v>251</v>
      </c>
      <c r="C21" s="981" t="s">
        <v>303</v>
      </c>
      <c r="D21" s="981" t="s">
        <v>56</v>
      </c>
      <c r="E21" s="981">
        <v>54</v>
      </c>
      <c r="F21" s="981">
        <v>5</v>
      </c>
      <c r="G21" s="981">
        <v>9</v>
      </c>
      <c r="H21" s="981">
        <v>40</v>
      </c>
    </row>
    <row r="22" spans="1:8" x14ac:dyDescent="0.25">
      <c r="A22" s="981" t="s">
        <v>207</v>
      </c>
      <c r="B22" s="981" t="s">
        <v>251</v>
      </c>
      <c r="C22" s="981" t="s">
        <v>304</v>
      </c>
      <c r="D22" s="981" t="s">
        <v>57</v>
      </c>
      <c r="E22" s="981">
        <v>84</v>
      </c>
      <c r="F22" s="981">
        <v>9</v>
      </c>
      <c r="G22" s="981">
        <v>8</v>
      </c>
      <c r="H22" s="981">
        <v>67</v>
      </c>
    </row>
    <row r="23" spans="1:8" x14ac:dyDescent="0.25">
      <c r="A23" s="981" t="s">
        <v>207</v>
      </c>
      <c r="B23" s="981" t="s">
        <v>251</v>
      </c>
      <c r="C23" s="981" t="s">
        <v>305</v>
      </c>
      <c r="D23" s="981" t="s">
        <v>58</v>
      </c>
      <c r="E23" s="981">
        <v>74</v>
      </c>
      <c r="F23" s="981">
        <v>9</v>
      </c>
      <c r="G23" s="981">
        <v>15</v>
      </c>
      <c r="H23" s="981">
        <v>50</v>
      </c>
    </row>
    <row r="24" spans="1:8" x14ac:dyDescent="0.25">
      <c r="A24" s="981" t="s">
        <v>207</v>
      </c>
      <c r="B24" s="981" t="s">
        <v>251</v>
      </c>
      <c r="C24" s="981" t="s">
        <v>306</v>
      </c>
      <c r="D24" s="981" t="s">
        <v>31</v>
      </c>
      <c r="E24" s="981">
        <v>8</v>
      </c>
      <c r="F24" s="981">
        <v>1</v>
      </c>
      <c r="G24" s="981">
        <v>2</v>
      </c>
      <c r="H24" s="981">
        <v>5</v>
      </c>
    </row>
    <row r="25" spans="1:8" x14ac:dyDescent="0.25">
      <c r="A25" s="981" t="s">
        <v>207</v>
      </c>
      <c r="B25" s="981" t="s">
        <v>251</v>
      </c>
      <c r="C25" s="981" t="s">
        <v>307</v>
      </c>
      <c r="D25" s="981" t="s">
        <v>32</v>
      </c>
      <c r="E25" s="981">
        <v>297</v>
      </c>
      <c r="F25" s="981">
        <v>29</v>
      </c>
      <c r="G25" s="981">
        <v>65</v>
      </c>
      <c r="H25" s="981">
        <v>203</v>
      </c>
    </row>
    <row r="26" spans="1:8" x14ac:dyDescent="0.25">
      <c r="A26" s="981" t="s">
        <v>207</v>
      </c>
      <c r="B26" s="981" t="s">
        <v>251</v>
      </c>
      <c r="C26" s="981" t="s">
        <v>308</v>
      </c>
      <c r="D26" s="981" t="s">
        <v>34</v>
      </c>
      <c r="E26" s="981">
        <v>187</v>
      </c>
      <c r="F26" s="981">
        <v>17</v>
      </c>
      <c r="G26" s="981">
        <v>24</v>
      </c>
      <c r="H26" s="981">
        <v>146</v>
      </c>
    </row>
    <row r="27" spans="1:8" x14ac:dyDescent="0.25">
      <c r="A27" s="981" t="s">
        <v>207</v>
      </c>
      <c r="B27" s="981" t="s">
        <v>251</v>
      </c>
      <c r="C27" s="981" t="s">
        <v>309</v>
      </c>
      <c r="D27" s="981" t="s">
        <v>262</v>
      </c>
      <c r="E27" s="981">
        <v>12</v>
      </c>
      <c r="F27" s="981">
        <v>1</v>
      </c>
      <c r="G27" s="981">
        <v>2</v>
      </c>
      <c r="H27" s="981">
        <v>9</v>
      </c>
    </row>
    <row r="28" spans="1:8" x14ac:dyDescent="0.25">
      <c r="A28" s="981" t="s">
        <v>207</v>
      </c>
      <c r="B28" s="981" t="s">
        <v>251</v>
      </c>
      <c r="C28" s="981" t="s">
        <v>310</v>
      </c>
      <c r="D28" s="981" t="s">
        <v>53</v>
      </c>
      <c r="E28" s="981">
        <v>14</v>
      </c>
      <c r="F28" s="981">
        <v>1</v>
      </c>
      <c r="G28" s="981">
        <v>2</v>
      </c>
      <c r="H28" s="981">
        <v>11</v>
      </c>
    </row>
    <row r="29" spans="1:8" x14ac:dyDescent="0.25">
      <c r="A29" s="981" t="s">
        <v>207</v>
      </c>
      <c r="B29" s="981" t="s">
        <v>251</v>
      </c>
      <c r="C29" s="981" t="s">
        <v>311</v>
      </c>
      <c r="D29" s="981" t="s">
        <v>59</v>
      </c>
      <c r="E29" s="981">
        <v>18</v>
      </c>
      <c r="F29" s="981">
        <v>2</v>
      </c>
      <c r="G29" s="981">
        <v>1</v>
      </c>
      <c r="H29" s="981">
        <v>15</v>
      </c>
    </row>
    <row r="30" spans="1:8" x14ac:dyDescent="0.25">
      <c r="A30" s="981" t="s">
        <v>207</v>
      </c>
      <c r="B30" s="981" t="s">
        <v>251</v>
      </c>
      <c r="C30" s="981" t="s">
        <v>312</v>
      </c>
      <c r="D30" s="981" t="s">
        <v>60</v>
      </c>
      <c r="E30" s="981">
        <v>58</v>
      </c>
      <c r="F30" s="981">
        <v>6</v>
      </c>
      <c r="G30" s="981">
        <v>11</v>
      </c>
      <c r="H30" s="981">
        <v>41</v>
      </c>
    </row>
    <row r="31" spans="1:8" x14ac:dyDescent="0.25">
      <c r="A31" s="981" t="s">
        <v>207</v>
      </c>
      <c r="B31" s="981" t="s">
        <v>251</v>
      </c>
      <c r="C31" s="981" t="s">
        <v>313</v>
      </c>
      <c r="D31" s="981" t="s">
        <v>33</v>
      </c>
      <c r="E31" s="981">
        <v>99</v>
      </c>
      <c r="F31" s="981">
        <v>7</v>
      </c>
      <c r="G31" s="981">
        <v>19</v>
      </c>
      <c r="H31" s="981">
        <v>73</v>
      </c>
    </row>
    <row r="32" spans="1:8" x14ac:dyDescent="0.25">
      <c r="A32" s="981" t="s">
        <v>207</v>
      </c>
      <c r="B32" s="981" t="s">
        <v>251</v>
      </c>
      <c r="C32" s="981" t="s">
        <v>314</v>
      </c>
      <c r="D32" s="981" t="s">
        <v>37</v>
      </c>
      <c r="E32" s="981">
        <v>14</v>
      </c>
      <c r="F32" s="981">
        <v>1</v>
      </c>
      <c r="G32" s="981">
        <v>3</v>
      </c>
      <c r="H32" s="981">
        <v>10</v>
      </c>
    </row>
    <row r="33" spans="1:8" x14ac:dyDescent="0.25">
      <c r="A33" s="981" t="s">
        <v>207</v>
      </c>
      <c r="B33" s="981" t="s">
        <v>251</v>
      </c>
      <c r="C33" s="981" t="s">
        <v>315</v>
      </c>
      <c r="D33" s="981" t="s">
        <v>50</v>
      </c>
      <c r="E33" s="981">
        <v>28</v>
      </c>
      <c r="F33" s="981">
        <v>3</v>
      </c>
      <c r="G33" s="981">
        <v>3</v>
      </c>
      <c r="H33" s="981">
        <v>22</v>
      </c>
    </row>
    <row r="34" spans="1:8" x14ac:dyDescent="0.25">
      <c r="A34" s="981" t="s">
        <v>207</v>
      </c>
      <c r="B34" s="981" t="s">
        <v>251</v>
      </c>
      <c r="C34" s="981" t="s">
        <v>316</v>
      </c>
      <c r="D34" s="981" t="s">
        <v>39</v>
      </c>
      <c r="E34" s="981">
        <v>0</v>
      </c>
      <c r="F34" s="981">
        <v>0</v>
      </c>
      <c r="G34" s="981">
        <v>0</v>
      </c>
      <c r="H34" s="981">
        <v>0</v>
      </c>
    </row>
    <row r="35" spans="1:8" x14ac:dyDescent="0.25">
      <c r="A35" s="981" t="s">
        <v>207</v>
      </c>
      <c r="B35" s="981" t="s">
        <v>251</v>
      </c>
      <c r="C35" s="981" t="s">
        <v>317</v>
      </c>
      <c r="D35" s="981" t="s">
        <v>124</v>
      </c>
      <c r="E35" s="981">
        <v>2</v>
      </c>
      <c r="F35" s="981">
        <v>0</v>
      </c>
      <c r="G35" s="981">
        <v>1</v>
      </c>
      <c r="H35" s="981">
        <v>1</v>
      </c>
    </row>
    <row r="36" spans="1:8" x14ac:dyDescent="0.25">
      <c r="A36" s="981" t="s">
        <v>207</v>
      </c>
      <c r="B36" s="981" t="s">
        <v>251</v>
      </c>
      <c r="C36" s="981" t="s">
        <v>318</v>
      </c>
      <c r="D36" s="981" t="s">
        <v>43</v>
      </c>
      <c r="E36" s="981">
        <v>111</v>
      </c>
      <c r="F36" s="981">
        <v>11</v>
      </c>
      <c r="G36" s="981">
        <v>19</v>
      </c>
      <c r="H36" s="981">
        <v>81</v>
      </c>
    </row>
    <row r="37" spans="1:8" x14ac:dyDescent="0.25">
      <c r="A37" s="981" t="s">
        <v>206</v>
      </c>
      <c r="B37" s="981" t="s">
        <v>251</v>
      </c>
      <c r="C37" s="981" t="s">
        <v>287</v>
      </c>
      <c r="D37" s="981" t="s">
        <v>35</v>
      </c>
      <c r="E37" s="981">
        <v>23</v>
      </c>
      <c r="F37" s="981">
        <v>2</v>
      </c>
      <c r="G37" s="981">
        <v>5</v>
      </c>
      <c r="H37" s="981">
        <v>16</v>
      </c>
    </row>
    <row r="38" spans="1:8" x14ac:dyDescent="0.25">
      <c r="A38" s="981" t="s">
        <v>206</v>
      </c>
      <c r="B38" s="981" t="s">
        <v>251</v>
      </c>
      <c r="C38" s="981" t="s">
        <v>288</v>
      </c>
      <c r="D38" s="981" t="s">
        <v>36</v>
      </c>
      <c r="E38" s="981">
        <v>206</v>
      </c>
      <c r="F38" s="981">
        <v>17</v>
      </c>
      <c r="G38" s="981">
        <v>36</v>
      </c>
      <c r="H38" s="981">
        <v>153</v>
      </c>
    </row>
    <row r="39" spans="1:8" x14ac:dyDescent="0.25">
      <c r="A39" s="981" t="s">
        <v>206</v>
      </c>
      <c r="B39" s="981" t="s">
        <v>251</v>
      </c>
      <c r="C39" s="981" t="s">
        <v>289</v>
      </c>
      <c r="D39" s="981" t="s">
        <v>38</v>
      </c>
      <c r="E39" s="981">
        <v>80</v>
      </c>
      <c r="F39" s="981">
        <v>8</v>
      </c>
      <c r="G39" s="981">
        <v>9</v>
      </c>
      <c r="H39" s="981">
        <v>63</v>
      </c>
    </row>
    <row r="40" spans="1:8" x14ac:dyDescent="0.25">
      <c r="A40" s="981" t="s">
        <v>206</v>
      </c>
      <c r="B40" s="981" t="s">
        <v>251</v>
      </c>
      <c r="C40" s="981" t="s">
        <v>290</v>
      </c>
      <c r="D40" s="981" t="s">
        <v>40</v>
      </c>
      <c r="E40" s="981">
        <v>60</v>
      </c>
      <c r="F40" s="981">
        <v>5</v>
      </c>
      <c r="G40" s="981">
        <v>12</v>
      </c>
      <c r="H40" s="981">
        <v>43</v>
      </c>
    </row>
    <row r="41" spans="1:8" x14ac:dyDescent="0.25">
      <c r="A41" s="981" t="s">
        <v>206</v>
      </c>
      <c r="B41" s="981" t="s">
        <v>251</v>
      </c>
      <c r="C41" s="981" t="s">
        <v>291</v>
      </c>
      <c r="D41" s="981" t="s">
        <v>41</v>
      </c>
      <c r="E41" s="981">
        <v>0</v>
      </c>
      <c r="F41" s="981">
        <v>0</v>
      </c>
      <c r="G41" s="981">
        <v>0</v>
      </c>
      <c r="H41" s="981">
        <v>0</v>
      </c>
    </row>
    <row r="42" spans="1:8" x14ac:dyDescent="0.25">
      <c r="A42" s="981" t="s">
        <v>206</v>
      </c>
      <c r="B42" s="981" t="s">
        <v>251</v>
      </c>
      <c r="C42" s="981" t="s">
        <v>292</v>
      </c>
      <c r="D42" s="981" t="s">
        <v>48</v>
      </c>
      <c r="E42" s="981">
        <v>147</v>
      </c>
      <c r="F42" s="981">
        <v>16</v>
      </c>
      <c r="G42" s="981">
        <v>27</v>
      </c>
      <c r="H42" s="981">
        <v>104</v>
      </c>
    </row>
    <row r="43" spans="1:8" x14ac:dyDescent="0.25">
      <c r="A43" s="981" t="s">
        <v>206</v>
      </c>
      <c r="B43" s="981" t="s">
        <v>251</v>
      </c>
      <c r="C43" s="981" t="s">
        <v>293</v>
      </c>
      <c r="D43" s="981" t="s">
        <v>42</v>
      </c>
      <c r="E43" s="981">
        <v>68</v>
      </c>
      <c r="F43" s="981">
        <v>6</v>
      </c>
      <c r="G43" s="981">
        <v>9</v>
      </c>
      <c r="H43" s="981">
        <v>53</v>
      </c>
    </row>
    <row r="44" spans="1:8" x14ac:dyDescent="0.25">
      <c r="A44" s="981" t="s">
        <v>206</v>
      </c>
      <c r="B44" s="981" t="s">
        <v>251</v>
      </c>
      <c r="C44" s="981" t="s">
        <v>294</v>
      </c>
      <c r="D44" s="981" t="s">
        <v>44</v>
      </c>
      <c r="E44" s="981">
        <v>548</v>
      </c>
      <c r="F44" s="981">
        <v>54</v>
      </c>
      <c r="G44" s="981">
        <v>106</v>
      </c>
      <c r="H44" s="981">
        <v>388</v>
      </c>
    </row>
    <row r="45" spans="1:8" x14ac:dyDescent="0.25">
      <c r="A45" s="981" t="s">
        <v>206</v>
      </c>
      <c r="B45" s="981" t="s">
        <v>251</v>
      </c>
      <c r="C45" s="981" t="s">
        <v>295</v>
      </c>
      <c r="D45" s="981" t="s">
        <v>45</v>
      </c>
      <c r="E45" s="981">
        <v>40</v>
      </c>
      <c r="F45" s="981">
        <v>3</v>
      </c>
      <c r="G45" s="981">
        <v>4</v>
      </c>
      <c r="H45" s="981">
        <v>33</v>
      </c>
    </row>
    <row r="46" spans="1:8" x14ac:dyDescent="0.25">
      <c r="A46" s="981" t="s">
        <v>206</v>
      </c>
      <c r="B46" s="981" t="s">
        <v>251</v>
      </c>
      <c r="C46" s="981" t="s">
        <v>296</v>
      </c>
      <c r="D46" s="981" t="s">
        <v>46</v>
      </c>
      <c r="E46" s="981">
        <v>14</v>
      </c>
      <c r="F46" s="981">
        <v>1</v>
      </c>
      <c r="G46" s="981">
        <v>2</v>
      </c>
      <c r="H46" s="981">
        <v>11</v>
      </c>
    </row>
    <row r="47" spans="1:8" x14ac:dyDescent="0.25">
      <c r="A47" s="981" t="s">
        <v>206</v>
      </c>
      <c r="B47" s="981" t="s">
        <v>251</v>
      </c>
      <c r="C47" s="981" t="s">
        <v>297</v>
      </c>
      <c r="D47" s="981" t="s">
        <v>47</v>
      </c>
      <c r="E47" s="981">
        <v>121</v>
      </c>
      <c r="F47" s="981">
        <v>11</v>
      </c>
      <c r="G47" s="981">
        <v>26</v>
      </c>
      <c r="H47" s="981">
        <v>84</v>
      </c>
    </row>
    <row r="48" spans="1:8" x14ac:dyDescent="0.25">
      <c r="A48" s="981" t="s">
        <v>206</v>
      </c>
      <c r="B48" s="981" t="s">
        <v>251</v>
      </c>
      <c r="C48" s="981" t="s">
        <v>298</v>
      </c>
      <c r="D48" s="981" t="s">
        <v>49</v>
      </c>
      <c r="E48" s="981">
        <v>90</v>
      </c>
      <c r="F48" s="981">
        <v>9</v>
      </c>
      <c r="G48" s="981">
        <v>17</v>
      </c>
      <c r="H48" s="981">
        <v>64</v>
      </c>
    </row>
    <row r="49" spans="1:8" x14ac:dyDescent="0.25">
      <c r="A49" s="981" t="s">
        <v>206</v>
      </c>
      <c r="B49" s="981" t="s">
        <v>251</v>
      </c>
      <c r="C49" s="981" t="s">
        <v>299</v>
      </c>
      <c r="D49" s="981" t="s">
        <v>51</v>
      </c>
      <c r="E49" s="981">
        <v>109</v>
      </c>
      <c r="F49" s="981">
        <v>12</v>
      </c>
      <c r="G49" s="981">
        <v>26</v>
      </c>
      <c r="H49" s="981">
        <v>71</v>
      </c>
    </row>
    <row r="50" spans="1:8" x14ac:dyDescent="0.25">
      <c r="A50" s="981" t="s">
        <v>206</v>
      </c>
      <c r="B50" s="981" t="s">
        <v>251</v>
      </c>
      <c r="C50" s="981" t="s">
        <v>300</v>
      </c>
      <c r="D50" s="981" t="s">
        <v>52</v>
      </c>
      <c r="E50" s="981">
        <v>128</v>
      </c>
      <c r="F50" s="981">
        <v>13</v>
      </c>
      <c r="G50" s="981">
        <v>26</v>
      </c>
      <c r="H50" s="981">
        <v>89</v>
      </c>
    </row>
    <row r="51" spans="1:8" x14ac:dyDescent="0.25">
      <c r="A51" s="981" t="s">
        <v>206</v>
      </c>
      <c r="B51" s="981" t="s">
        <v>251</v>
      </c>
      <c r="C51" s="981" t="s">
        <v>301</v>
      </c>
      <c r="D51" s="981" t="s">
        <v>54</v>
      </c>
      <c r="E51" s="981">
        <v>151</v>
      </c>
      <c r="F51" s="981">
        <v>14</v>
      </c>
      <c r="G51" s="981">
        <v>26</v>
      </c>
      <c r="H51" s="981">
        <v>111</v>
      </c>
    </row>
    <row r="52" spans="1:8" x14ac:dyDescent="0.25">
      <c r="A52" s="981" t="s">
        <v>206</v>
      </c>
      <c r="B52" s="981" t="s">
        <v>251</v>
      </c>
      <c r="C52" s="981" t="s">
        <v>302</v>
      </c>
      <c r="D52" s="981" t="s">
        <v>55</v>
      </c>
      <c r="E52" s="981">
        <v>127</v>
      </c>
      <c r="F52" s="981">
        <v>12</v>
      </c>
      <c r="G52" s="981">
        <v>29</v>
      </c>
      <c r="H52" s="981">
        <v>86</v>
      </c>
    </row>
    <row r="53" spans="1:8" x14ac:dyDescent="0.25">
      <c r="A53" s="981" t="s">
        <v>206</v>
      </c>
      <c r="B53" s="981" t="s">
        <v>251</v>
      </c>
      <c r="C53" s="981" t="s">
        <v>303</v>
      </c>
      <c r="D53" s="981" t="s">
        <v>56</v>
      </c>
      <c r="E53" s="981">
        <v>54</v>
      </c>
      <c r="F53" s="981">
        <v>5</v>
      </c>
      <c r="G53" s="981">
        <v>9</v>
      </c>
      <c r="H53" s="981">
        <v>40</v>
      </c>
    </row>
    <row r="54" spans="1:8" x14ac:dyDescent="0.25">
      <c r="A54" s="981" t="s">
        <v>206</v>
      </c>
      <c r="B54" s="981" t="s">
        <v>251</v>
      </c>
      <c r="C54" s="981" t="s">
        <v>304</v>
      </c>
      <c r="D54" s="981" t="s">
        <v>57</v>
      </c>
      <c r="E54" s="981">
        <v>82</v>
      </c>
      <c r="F54" s="981">
        <v>9</v>
      </c>
      <c r="G54" s="981">
        <v>8</v>
      </c>
      <c r="H54" s="981">
        <v>65</v>
      </c>
    </row>
    <row r="55" spans="1:8" x14ac:dyDescent="0.25">
      <c r="A55" s="981" t="s">
        <v>206</v>
      </c>
      <c r="B55" s="981" t="s">
        <v>251</v>
      </c>
      <c r="C55" s="981" t="s">
        <v>305</v>
      </c>
      <c r="D55" s="981" t="s">
        <v>58</v>
      </c>
      <c r="E55" s="981">
        <v>75</v>
      </c>
      <c r="F55" s="981">
        <v>9</v>
      </c>
      <c r="G55" s="981">
        <v>14</v>
      </c>
      <c r="H55" s="981">
        <v>52</v>
      </c>
    </row>
    <row r="56" spans="1:8" x14ac:dyDescent="0.25">
      <c r="A56" s="981" t="s">
        <v>206</v>
      </c>
      <c r="B56" s="981" t="s">
        <v>251</v>
      </c>
      <c r="C56" s="981" t="s">
        <v>306</v>
      </c>
      <c r="D56" s="981" t="s">
        <v>31</v>
      </c>
      <c r="E56" s="981">
        <v>8</v>
      </c>
      <c r="F56" s="981">
        <v>1</v>
      </c>
      <c r="G56" s="981">
        <v>2</v>
      </c>
      <c r="H56" s="981">
        <v>5</v>
      </c>
    </row>
    <row r="57" spans="1:8" x14ac:dyDescent="0.25">
      <c r="A57" s="981" t="s">
        <v>206</v>
      </c>
      <c r="B57" s="981" t="s">
        <v>251</v>
      </c>
      <c r="C57" s="981" t="s">
        <v>307</v>
      </c>
      <c r="D57" s="981" t="s">
        <v>32</v>
      </c>
      <c r="E57" s="981">
        <v>280</v>
      </c>
      <c r="F57" s="981">
        <v>27</v>
      </c>
      <c r="G57" s="981">
        <v>63</v>
      </c>
      <c r="H57" s="981">
        <v>190</v>
      </c>
    </row>
    <row r="58" spans="1:8" x14ac:dyDescent="0.25">
      <c r="A58" s="981" t="s">
        <v>206</v>
      </c>
      <c r="B58" s="981" t="s">
        <v>251</v>
      </c>
      <c r="C58" s="981" t="s">
        <v>308</v>
      </c>
      <c r="D58" s="981" t="s">
        <v>34</v>
      </c>
      <c r="E58" s="981">
        <v>175</v>
      </c>
      <c r="F58" s="981">
        <v>15</v>
      </c>
      <c r="G58" s="981">
        <v>24</v>
      </c>
      <c r="H58" s="981">
        <v>136</v>
      </c>
    </row>
    <row r="59" spans="1:8" x14ac:dyDescent="0.25">
      <c r="A59" s="981" t="s">
        <v>206</v>
      </c>
      <c r="B59" s="981" t="s">
        <v>251</v>
      </c>
      <c r="C59" s="981" t="s">
        <v>309</v>
      </c>
      <c r="D59" s="981" t="s">
        <v>262</v>
      </c>
      <c r="E59" s="981">
        <v>13</v>
      </c>
      <c r="F59" s="981">
        <v>1</v>
      </c>
      <c r="G59" s="981">
        <v>2</v>
      </c>
      <c r="H59" s="981">
        <v>10</v>
      </c>
    </row>
    <row r="60" spans="1:8" x14ac:dyDescent="0.25">
      <c r="A60" s="981" t="s">
        <v>206</v>
      </c>
      <c r="B60" s="981" t="s">
        <v>251</v>
      </c>
      <c r="C60" s="981" t="s">
        <v>310</v>
      </c>
      <c r="D60" s="981" t="s">
        <v>53</v>
      </c>
      <c r="E60" s="981">
        <v>14</v>
      </c>
      <c r="F60" s="981">
        <v>1</v>
      </c>
      <c r="G60" s="981">
        <v>2</v>
      </c>
      <c r="H60" s="981">
        <v>11</v>
      </c>
    </row>
    <row r="61" spans="1:8" x14ac:dyDescent="0.25">
      <c r="A61" s="981" t="s">
        <v>206</v>
      </c>
      <c r="B61" s="981" t="s">
        <v>251</v>
      </c>
      <c r="C61" s="981" t="s">
        <v>311</v>
      </c>
      <c r="D61" s="981" t="s">
        <v>59</v>
      </c>
      <c r="E61" s="981">
        <v>21</v>
      </c>
      <c r="F61" s="981">
        <v>2</v>
      </c>
      <c r="G61" s="981">
        <v>1</v>
      </c>
      <c r="H61" s="981">
        <v>18</v>
      </c>
    </row>
    <row r="62" spans="1:8" x14ac:dyDescent="0.25">
      <c r="A62" s="981" t="s">
        <v>206</v>
      </c>
      <c r="B62" s="981" t="s">
        <v>251</v>
      </c>
      <c r="C62" s="981" t="s">
        <v>312</v>
      </c>
      <c r="D62" s="981" t="s">
        <v>60</v>
      </c>
      <c r="E62" s="981">
        <v>65</v>
      </c>
      <c r="F62" s="981">
        <v>6</v>
      </c>
      <c r="G62" s="981">
        <v>12</v>
      </c>
      <c r="H62" s="981">
        <v>47</v>
      </c>
    </row>
    <row r="63" spans="1:8" x14ac:dyDescent="0.25">
      <c r="A63" s="981" t="s">
        <v>206</v>
      </c>
      <c r="B63" s="981" t="s">
        <v>251</v>
      </c>
      <c r="C63" s="981" t="s">
        <v>313</v>
      </c>
      <c r="D63" s="981" t="s">
        <v>33</v>
      </c>
      <c r="E63" s="981">
        <v>95</v>
      </c>
      <c r="F63" s="981">
        <v>7</v>
      </c>
      <c r="G63" s="981">
        <v>20</v>
      </c>
      <c r="H63" s="981">
        <v>68</v>
      </c>
    </row>
    <row r="64" spans="1:8" x14ac:dyDescent="0.25">
      <c r="A64" s="981" t="s">
        <v>206</v>
      </c>
      <c r="B64" s="981" t="s">
        <v>251</v>
      </c>
      <c r="C64" s="981" t="s">
        <v>314</v>
      </c>
      <c r="D64" s="981" t="s">
        <v>37</v>
      </c>
      <c r="E64" s="981">
        <v>14</v>
      </c>
      <c r="F64" s="981">
        <v>1</v>
      </c>
      <c r="G64" s="981">
        <v>3</v>
      </c>
      <c r="H64" s="981">
        <v>10</v>
      </c>
    </row>
    <row r="65" spans="1:8" x14ac:dyDescent="0.25">
      <c r="A65" s="981" t="s">
        <v>206</v>
      </c>
      <c r="B65" s="981" t="s">
        <v>251</v>
      </c>
      <c r="C65" s="981" t="s">
        <v>315</v>
      </c>
      <c r="D65" s="981" t="s">
        <v>50</v>
      </c>
      <c r="E65" s="981">
        <v>30</v>
      </c>
      <c r="F65" s="981">
        <v>3</v>
      </c>
      <c r="G65" s="981">
        <v>3</v>
      </c>
      <c r="H65" s="981">
        <v>24</v>
      </c>
    </row>
    <row r="66" spans="1:8" x14ac:dyDescent="0.25">
      <c r="A66" s="981" t="s">
        <v>206</v>
      </c>
      <c r="B66" s="981" t="s">
        <v>251</v>
      </c>
      <c r="C66" s="981" t="s">
        <v>316</v>
      </c>
      <c r="D66" s="981" t="s">
        <v>39</v>
      </c>
      <c r="E66" s="981">
        <v>0</v>
      </c>
      <c r="F66" s="981">
        <v>0</v>
      </c>
      <c r="G66" s="981">
        <v>0</v>
      </c>
      <c r="H66" s="981">
        <v>0</v>
      </c>
    </row>
    <row r="67" spans="1:8" x14ac:dyDescent="0.25">
      <c r="A67" s="981" t="s">
        <v>206</v>
      </c>
      <c r="B67" s="981" t="s">
        <v>251</v>
      </c>
      <c r="C67" s="981" t="s">
        <v>317</v>
      </c>
      <c r="D67" s="981" t="s">
        <v>124</v>
      </c>
      <c r="E67" s="981">
        <v>0</v>
      </c>
      <c r="F67" s="981">
        <v>0</v>
      </c>
      <c r="G67" s="981">
        <v>0</v>
      </c>
      <c r="H67" s="981">
        <v>0</v>
      </c>
    </row>
    <row r="68" spans="1:8" x14ac:dyDescent="0.25">
      <c r="A68" s="981" t="s">
        <v>206</v>
      </c>
      <c r="B68" s="981" t="s">
        <v>251</v>
      </c>
      <c r="C68" s="981" t="s">
        <v>318</v>
      </c>
      <c r="D68" s="981" t="s">
        <v>43</v>
      </c>
      <c r="E68" s="981">
        <v>112</v>
      </c>
      <c r="F68" s="981">
        <v>10</v>
      </c>
      <c r="G68" s="981">
        <v>23</v>
      </c>
      <c r="H68" s="981">
        <v>79</v>
      </c>
    </row>
    <row r="69" spans="1:8" x14ac:dyDescent="0.25">
      <c r="A69" s="981" t="s">
        <v>205</v>
      </c>
      <c r="B69" s="981" t="s">
        <v>251</v>
      </c>
      <c r="C69" s="981" t="s">
        <v>287</v>
      </c>
      <c r="D69" s="981" t="s">
        <v>35</v>
      </c>
      <c r="E69" s="981">
        <v>21</v>
      </c>
      <c r="F69" s="981">
        <v>2</v>
      </c>
      <c r="G69" s="981">
        <v>4</v>
      </c>
      <c r="H69" s="981">
        <v>15</v>
      </c>
    </row>
    <row r="70" spans="1:8" x14ac:dyDescent="0.25">
      <c r="A70" s="981" t="s">
        <v>205</v>
      </c>
      <c r="B70" s="981" t="s">
        <v>251</v>
      </c>
      <c r="C70" s="981" t="s">
        <v>288</v>
      </c>
      <c r="D70" s="981" t="s">
        <v>36</v>
      </c>
      <c r="E70" s="981">
        <v>190</v>
      </c>
      <c r="F70" s="981">
        <v>16</v>
      </c>
      <c r="G70" s="981">
        <v>34</v>
      </c>
      <c r="H70" s="981">
        <v>140</v>
      </c>
    </row>
    <row r="71" spans="1:8" x14ac:dyDescent="0.25">
      <c r="A71" s="981" t="s">
        <v>205</v>
      </c>
      <c r="B71" s="981" t="s">
        <v>251</v>
      </c>
      <c r="C71" s="981" t="s">
        <v>289</v>
      </c>
      <c r="D71" s="981" t="s">
        <v>38</v>
      </c>
      <c r="E71" s="981">
        <v>83</v>
      </c>
      <c r="F71" s="981">
        <v>7</v>
      </c>
      <c r="G71" s="981">
        <v>11</v>
      </c>
      <c r="H71" s="981">
        <v>65</v>
      </c>
    </row>
    <row r="72" spans="1:8" x14ac:dyDescent="0.25">
      <c r="A72" s="981" t="s">
        <v>205</v>
      </c>
      <c r="B72" s="981" t="s">
        <v>251</v>
      </c>
      <c r="C72" s="981" t="s">
        <v>290</v>
      </c>
      <c r="D72" s="981" t="s">
        <v>40</v>
      </c>
      <c r="E72" s="981">
        <v>55</v>
      </c>
      <c r="F72" s="981">
        <v>4</v>
      </c>
      <c r="G72" s="981">
        <v>11</v>
      </c>
      <c r="H72" s="981">
        <v>40</v>
      </c>
    </row>
    <row r="73" spans="1:8" x14ac:dyDescent="0.25">
      <c r="A73" s="981" t="s">
        <v>205</v>
      </c>
      <c r="B73" s="981" t="s">
        <v>251</v>
      </c>
      <c r="C73" s="981" t="s">
        <v>291</v>
      </c>
      <c r="D73" s="981" t="s">
        <v>41</v>
      </c>
      <c r="E73" s="981">
        <v>2</v>
      </c>
      <c r="F73" s="981">
        <v>0</v>
      </c>
      <c r="G73" s="981">
        <v>0</v>
      </c>
      <c r="H73" s="981">
        <v>2</v>
      </c>
    </row>
    <row r="74" spans="1:8" x14ac:dyDescent="0.25">
      <c r="A74" s="981" t="s">
        <v>205</v>
      </c>
      <c r="B74" s="981" t="s">
        <v>251</v>
      </c>
      <c r="C74" s="981" t="s">
        <v>292</v>
      </c>
      <c r="D74" s="981" t="s">
        <v>48</v>
      </c>
      <c r="E74" s="981">
        <v>140</v>
      </c>
      <c r="F74" s="981">
        <v>12</v>
      </c>
      <c r="G74" s="981">
        <v>34</v>
      </c>
      <c r="H74" s="981">
        <v>94</v>
      </c>
    </row>
    <row r="75" spans="1:8" x14ac:dyDescent="0.25">
      <c r="A75" s="981" t="s">
        <v>205</v>
      </c>
      <c r="B75" s="981" t="s">
        <v>251</v>
      </c>
      <c r="C75" s="981" t="s">
        <v>293</v>
      </c>
      <c r="D75" s="981" t="s">
        <v>42</v>
      </c>
      <c r="E75" s="981">
        <v>53</v>
      </c>
      <c r="F75" s="981">
        <v>5</v>
      </c>
      <c r="G75" s="981">
        <v>9</v>
      </c>
      <c r="H75" s="981">
        <v>39</v>
      </c>
    </row>
    <row r="76" spans="1:8" x14ac:dyDescent="0.25">
      <c r="A76" s="981" t="s">
        <v>205</v>
      </c>
      <c r="B76" s="981" t="s">
        <v>251</v>
      </c>
      <c r="C76" s="981" t="s">
        <v>294</v>
      </c>
      <c r="D76" s="981" t="s">
        <v>44</v>
      </c>
      <c r="E76" s="981">
        <v>525</v>
      </c>
      <c r="F76" s="981">
        <v>53</v>
      </c>
      <c r="G76" s="981">
        <v>107</v>
      </c>
      <c r="H76" s="981">
        <v>365</v>
      </c>
    </row>
    <row r="77" spans="1:8" x14ac:dyDescent="0.25">
      <c r="A77" s="981" t="s">
        <v>205</v>
      </c>
      <c r="B77" s="981" t="s">
        <v>251</v>
      </c>
      <c r="C77" s="981" t="s">
        <v>295</v>
      </c>
      <c r="D77" s="981" t="s">
        <v>45</v>
      </c>
      <c r="E77" s="981">
        <v>41</v>
      </c>
      <c r="F77" s="981">
        <v>4</v>
      </c>
      <c r="G77" s="981">
        <v>6</v>
      </c>
      <c r="H77" s="981">
        <v>31</v>
      </c>
    </row>
    <row r="78" spans="1:8" x14ac:dyDescent="0.25">
      <c r="A78" s="981" t="s">
        <v>205</v>
      </c>
      <c r="B78" s="981" t="s">
        <v>251</v>
      </c>
      <c r="C78" s="981" t="s">
        <v>296</v>
      </c>
      <c r="D78" s="981" t="s">
        <v>46</v>
      </c>
      <c r="E78" s="981">
        <v>11</v>
      </c>
      <c r="F78" s="981">
        <v>1</v>
      </c>
      <c r="G78" s="981">
        <v>2</v>
      </c>
      <c r="H78" s="981">
        <v>8</v>
      </c>
    </row>
    <row r="79" spans="1:8" x14ac:dyDescent="0.25">
      <c r="A79" s="981" t="s">
        <v>205</v>
      </c>
      <c r="B79" s="981" t="s">
        <v>251</v>
      </c>
      <c r="C79" s="981" t="s">
        <v>297</v>
      </c>
      <c r="D79" s="981" t="s">
        <v>47</v>
      </c>
      <c r="E79" s="981">
        <v>110</v>
      </c>
      <c r="F79" s="981">
        <v>12</v>
      </c>
      <c r="G79" s="981">
        <v>26</v>
      </c>
      <c r="H79" s="981">
        <v>72</v>
      </c>
    </row>
    <row r="80" spans="1:8" x14ac:dyDescent="0.25">
      <c r="A80" s="981" t="s">
        <v>205</v>
      </c>
      <c r="B80" s="981" t="s">
        <v>251</v>
      </c>
      <c r="C80" s="981" t="s">
        <v>298</v>
      </c>
      <c r="D80" s="981" t="s">
        <v>49</v>
      </c>
      <c r="E80" s="981">
        <v>108</v>
      </c>
      <c r="F80" s="981">
        <v>9</v>
      </c>
      <c r="G80" s="981">
        <v>12</v>
      </c>
      <c r="H80" s="981">
        <v>87</v>
      </c>
    </row>
    <row r="81" spans="1:8" x14ac:dyDescent="0.25">
      <c r="A81" s="981" t="s">
        <v>205</v>
      </c>
      <c r="B81" s="981" t="s">
        <v>251</v>
      </c>
      <c r="C81" s="981" t="s">
        <v>299</v>
      </c>
      <c r="D81" s="981" t="s">
        <v>51</v>
      </c>
      <c r="E81" s="981">
        <v>98</v>
      </c>
      <c r="F81" s="981">
        <v>12</v>
      </c>
      <c r="G81" s="981">
        <v>19</v>
      </c>
      <c r="H81" s="981">
        <v>67</v>
      </c>
    </row>
    <row r="82" spans="1:8" x14ac:dyDescent="0.25">
      <c r="A82" s="981" t="s">
        <v>205</v>
      </c>
      <c r="B82" s="981" t="s">
        <v>251</v>
      </c>
      <c r="C82" s="981" t="s">
        <v>300</v>
      </c>
      <c r="D82" s="981" t="s">
        <v>52</v>
      </c>
      <c r="E82" s="981">
        <v>126</v>
      </c>
      <c r="F82" s="981">
        <v>9</v>
      </c>
      <c r="G82" s="981">
        <v>24</v>
      </c>
      <c r="H82" s="981">
        <v>93</v>
      </c>
    </row>
    <row r="83" spans="1:8" x14ac:dyDescent="0.25">
      <c r="A83" s="981" t="s">
        <v>205</v>
      </c>
      <c r="B83" s="981" t="s">
        <v>251</v>
      </c>
      <c r="C83" s="981" t="s">
        <v>301</v>
      </c>
      <c r="D83" s="981" t="s">
        <v>54</v>
      </c>
      <c r="E83" s="981">
        <v>147</v>
      </c>
      <c r="F83" s="981">
        <v>13</v>
      </c>
      <c r="G83" s="981">
        <v>26</v>
      </c>
      <c r="H83" s="981">
        <v>108</v>
      </c>
    </row>
    <row r="84" spans="1:8" x14ac:dyDescent="0.25">
      <c r="A84" s="981" t="s">
        <v>205</v>
      </c>
      <c r="B84" s="981" t="s">
        <v>251</v>
      </c>
      <c r="C84" s="981" t="s">
        <v>302</v>
      </c>
      <c r="D84" s="981" t="s">
        <v>55</v>
      </c>
      <c r="E84" s="981">
        <v>126</v>
      </c>
      <c r="F84" s="981">
        <v>14</v>
      </c>
      <c r="G84" s="981">
        <v>25</v>
      </c>
      <c r="H84" s="981">
        <v>87</v>
      </c>
    </row>
    <row r="85" spans="1:8" x14ac:dyDescent="0.25">
      <c r="A85" s="981" t="s">
        <v>205</v>
      </c>
      <c r="B85" s="981" t="s">
        <v>251</v>
      </c>
      <c r="C85" s="981" t="s">
        <v>303</v>
      </c>
      <c r="D85" s="981" t="s">
        <v>56</v>
      </c>
      <c r="E85" s="981">
        <v>53</v>
      </c>
      <c r="F85" s="981">
        <v>5</v>
      </c>
      <c r="G85" s="981">
        <v>7</v>
      </c>
      <c r="H85" s="981">
        <v>41</v>
      </c>
    </row>
    <row r="86" spans="1:8" x14ac:dyDescent="0.25">
      <c r="A86" s="981" t="s">
        <v>205</v>
      </c>
      <c r="B86" s="981" t="s">
        <v>251</v>
      </c>
      <c r="C86" s="981" t="s">
        <v>304</v>
      </c>
      <c r="D86" s="981" t="s">
        <v>57</v>
      </c>
      <c r="E86" s="981">
        <v>71</v>
      </c>
      <c r="F86" s="981">
        <v>8</v>
      </c>
      <c r="G86" s="981">
        <v>9</v>
      </c>
      <c r="H86" s="981">
        <v>54</v>
      </c>
    </row>
    <row r="87" spans="1:8" x14ac:dyDescent="0.25">
      <c r="A87" s="981" t="s">
        <v>205</v>
      </c>
      <c r="B87" s="981" t="s">
        <v>251</v>
      </c>
      <c r="C87" s="981" t="s">
        <v>305</v>
      </c>
      <c r="D87" s="981" t="s">
        <v>58</v>
      </c>
      <c r="E87" s="981">
        <v>73</v>
      </c>
      <c r="F87" s="981">
        <v>9</v>
      </c>
      <c r="G87" s="981">
        <v>17</v>
      </c>
      <c r="H87" s="981">
        <v>47</v>
      </c>
    </row>
    <row r="88" spans="1:8" x14ac:dyDescent="0.25">
      <c r="A88" s="981" t="s">
        <v>205</v>
      </c>
      <c r="B88" s="981" t="s">
        <v>251</v>
      </c>
      <c r="C88" s="981" t="s">
        <v>306</v>
      </c>
      <c r="D88" s="981" t="s">
        <v>31</v>
      </c>
      <c r="E88" s="981">
        <v>23</v>
      </c>
      <c r="F88" s="981">
        <v>2</v>
      </c>
      <c r="G88" s="981">
        <v>8</v>
      </c>
      <c r="H88" s="981">
        <v>13</v>
      </c>
    </row>
    <row r="89" spans="1:8" x14ac:dyDescent="0.25">
      <c r="A89" s="981" t="s">
        <v>205</v>
      </c>
      <c r="B89" s="981" t="s">
        <v>251</v>
      </c>
      <c r="C89" s="981" t="s">
        <v>307</v>
      </c>
      <c r="D89" s="981" t="s">
        <v>32</v>
      </c>
      <c r="E89" s="981">
        <v>271</v>
      </c>
      <c r="F89" s="981">
        <v>25</v>
      </c>
      <c r="G89" s="981">
        <v>66</v>
      </c>
      <c r="H89" s="981">
        <v>180</v>
      </c>
    </row>
    <row r="90" spans="1:8" x14ac:dyDescent="0.25">
      <c r="A90" s="981" t="s">
        <v>205</v>
      </c>
      <c r="B90" s="981" t="s">
        <v>251</v>
      </c>
      <c r="C90" s="981" t="s">
        <v>308</v>
      </c>
      <c r="D90" s="981" t="s">
        <v>34</v>
      </c>
      <c r="E90" s="981">
        <v>182</v>
      </c>
      <c r="F90" s="981">
        <v>12</v>
      </c>
      <c r="G90" s="981">
        <v>26</v>
      </c>
      <c r="H90" s="981">
        <v>144</v>
      </c>
    </row>
    <row r="91" spans="1:8" x14ac:dyDescent="0.25">
      <c r="A91" s="981" t="s">
        <v>205</v>
      </c>
      <c r="B91" s="981" t="s">
        <v>251</v>
      </c>
      <c r="C91" s="981" t="s">
        <v>309</v>
      </c>
      <c r="D91" s="981" t="s">
        <v>262</v>
      </c>
      <c r="E91" s="981">
        <v>12</v>
      </c>
      <c r="F91" s="981">
        <v>1</v>
      </c>
      <c r="G91" s="981">
        <v>2</v>
      </c>
      <c r="H91" s="981">
        <v>9</v>
      </c>
    </row>
    <row r="92" spans="1:8" x14ac:dyDescent="0.25">
      <c r="A92" s="981" t="s">
        <v>205</v>
      </c>
      <c r="B92" s="981" t="s">
        <v>251</v>
      </c>
      <c r="C92" s="981" t="s">
        <v>310</v>
      </c>
      <c r="D92" s="981" t="s">
        <v>53</v>
      </c>
      <c r="E92" s="981">
        <v>13</v>
      </c>
      <c r="F92" s="981">
        <v>1</v>
      </c>
      <c r="G92" s="981">
        <v>1</v>
      </c>
      <c r="H92" s="981">
        <v>11</v>
      </c>
    </row>
    <row r="93" spans="1:8" x14ac:dyDescent="0.25">
      <c r="A93" s="981" t="s">
        <v>205</v>
      </c>
      <c r="B93" s="981" t="s">
        <v>251</v>
      </c>
      <c r="C93" s="981" t="s">
        <v>311</v>
      </c>
      <c r="D93" s="981" t="s">
        <v>59</v>
      </c>
      <c r="E93" s="981">
        <v>19</v>
      </c>
      <c r="F93" s="981">
        <v>2</v>
      </c>
      <c r="G93" s="981">
        <v>2</v>
      </c>
      <c r="H93" s="981">
        <v>15</v>
      </c>
    </row>
    <row r="94" spans="1:8" x14ac:dyDescent="0.25">
      <c r="A94" s="981" t="s">
        <v>205</v>
      </c>
      <c r="B94" s="981" t="s">
        <v>251</v>
      </c>
      <c r="C94" s="981" t="s">
        <v>312</v>
      </c>
      <c r="D94" s="981" t="s">
        <v>60</v>
      </c>
      <c r="E94" s="981">
        <v>55</v>
      </c>
      <c r="F94" s="981">
        <v>5</v>
      </c>
      <c r="G94" s="981">
        <v>10</v>
      </c>
      <c r="H94" s="981">
        <v>40</v>
      </c>
    </row>
    <row r="95" spans="1:8" x14ac:dyDescent="0.25">
      <c r="A95" s="981" t="s">
        <v>205</v>
      </c>
      <c r="B95" s="981" t="s">
        <v>251</v>
      </c>
      <c r="C95" s="981" t="s">
        <v>313</v>
      </c>
      <c r="D95" s="981" t="s">
        <v>33</v>
      </c>
      <c r="E95" s="981">
        <v>98</v>
      </c>
      <c r="F95" s="981">
        <v>6</v>
      </c>
      <c r="G95" s="981">
        <v>16</v>
      </c>
      <c r="H95" s="981">
        <v>76</v>
      </c>
    </row>
    <row r="96" spans="1:8" x14ac:dyDescent="0.25">
      <c r="A96" s="981" t="s">
        <v>205</v>
      </c>
      <c r="B96" s="981" t="s">
        <v>251</v>
      </c>
      <c r="C96" s="981" t="s">
        <v>314</v>
      </c>
      <c r="D96" s="981" t="s">
        <v>37</v>
      </c>
      <c r="E96" s="981">
        <v>11</v>
      </c>
      <c r="F96" s="981">
        <v>1</v>
      </c>
      <c r="G96" s="981">
        <v>3</v>
      </c>
      <c r="H96" s="981">
        <v>7</v>
      </c>
    </row>
    <row r="97" spans="1:8" x14ac:dyDescent="0.25">
      <c r="A97" s="981" t="s">
        <v>205</v>
      </c>
      <c r="B97" s="981" t="s">
        <v>251</v>
      </c>
      <c r="C97" s="981" t="s">
        <v>315</v>
      </c>
      <c r="D97" s="981" t="s">
        <v>50</v>
      </c>
      <c r="E97" s="981">
        <v>34</v>
      </c>
      <c r="F97" s="981">
        <v>3</v>
      </c>
      <c r="G97" s="981">
        <v>3</v>
      </c>
      <c r="H97" s="981">
        <v>28</v>
      </c>
    </row>
    <row r="98" spans="1:8" x14ac:dyDescent="0.25">
      <c r="A98" s="981" t="s">
        <v>205</v>
      </c>
      <c r="B98" s="981" t="s">
        <v>251</v>
      </c>
      <c r="C98" s="981" t="s">
        <v>316</v>
      </c>
      <c r="D98" s="981" t="s">
        <v>39</v>
      </c>
      <c r="E98" s="981">
        <v>1</v>
      </c>
      <c r="F98" s="981">
        <v>0</v>
      </c>
      <c r="G98" s="981">
        <v>0</v>
      </c>
      <c r="H98" s="981">
        <v>1</v>
      </c>
    </row>
    <row r="99" spans="1:8" x14ac:dyDescent="0.25">
      <c r="A99" s="981" t="s">
        <v>205</v>
      </c>
      <c r="B99" s="981" t="s">
        <v>251</v>
      </c>
      <c r="C99" s="981" t="s">
        <v>317</v>
      </c>
      <c r="D99" s="981" t="s">
        <v>124</v>
      </c>
      <c r="E99" s="981">
        <v>6</v>
      </c>
      <c r="F99" s="981">
        <v>0</v>
      </c>
      <c r="G99" s="981">
        <v>0</v>
      </c>
      <c r="H99" s="981">
        <v>6</v>
      </c>
    </row>
    <row r="100" spans="1:8" x14ac:dyDescent="0.25">
      <c r="A100" s="981" t="s">
        <v>205</v>
      </c>
      <c r="B100" s="981" t="s">
        <v>251</v>
      </c>
      <c r="C100" s="981" t="s">
        <v>318</v>
      </c>
      <c r="D100" s="981" t="s">
        <v>43</v>
      </c>
      <c r="E100" s="981">
        <v>112</v>
      </c>
      <c r="F100" s="981">
        <v>9</v>
      </c>
      <c r="G100" s="981">
        <v>23</v>
      </c>
      <c r="H100" s="981">
        <v>80</v>
      </c>
    </row>
    <row r="101" spans="1:8" x14ac:dyDescent="0.25">
      <c r="A101" s="981" t="s">
        <v>278</v>
      </c>
      <c r="B101" s="981" t="s">
        <v>251</v>
      </c>
      <c r="C101" s="981" t="s">
        <v>287</v>
      </c>
      <c r="D101" s="981" t="s">
        <v>35</v>
      </c>
      <c r="E101" s="981">
        <v>24</v>
      </c>
      <c r="F101" s="981">
        <v>2</v>
      </c>
      <c r="G101" s="981">
        <v>4</v>
      </c>
      <c r="H101" s="981">
        <v>18</v>
      </c>
    </row>
    <row r="102" spans="1:8" x14ac:dyDescent="0.25">
      <c r="A102" s="981" t="s">
        <v>278</v>
      </c>
      <c r="B102" s="981" t="s">
        <v>251</v>
      </c>
      <c r="C102" s="981" t="s">
        <v>288</v>
      </c>
      <c r="D102" s="981" t="s">
        <v>36</v>
      </c>
      <c r="E102" s="981">
        <v>202</v>
      </c>
      <c r="F102" s="981">
        <v>16</v>
      </c>
      <c r="G102" s="981">
        <v>37</v>
      </c>
      <c r="H102" s="981">
        <v>149</v>
      </c>
    </row>
    <row r="103" spans="1:8" x14ac:dyDescent="0.25">
      <c r="A103" s="981" t="s">
        <v>278</v>
      </c>
      <c r="B103" s="981" t="s">
        <v>251</v>
      </c>
      <c r="C103" s="981" t="s">
        <v>289</v>
      </c>
      <c r="D103" s="981" t="s">
        <v>38</v>
      </c>
      <c r="E103" s="981">
        <v>81</v>
      </c>
      <c r="F103" s="981">
        <v>7</v>
      </c>
      <c r="G103" s="981">
        <v>11</v>
      </c>
      <c r="H103" s="981">
        <v>63</v>
      </c>
    </row>
    <row r="104" spans="1:8" x14ac:dyDescent="0.25">
      <c r="A104" s="981" t="s">
        <v>278</v>
      </c>
      <c r="B104" s="981" t="s">
        <v>251</v>
      </c>
      <c r="C104" s="981" t="s">
        <v>290</v>
      </c>
      <c r="D104" s="981" t="s">
        <v>40</v>
      </c>
      <c r="E104" s="981">
        <v>55</v>
      </c>
      <c r="F104" s="981">
        <v>5</v>
      </c>
      <c r="G104" s="981">
        <v>12</v>
      </c>
      <c r="H104" s="981">
        <v>38</v>
      </c>
    </row>
    <row r="105" spans="1:8" x14ac:dyDescent="0.25">
      <c r="A105" s="981" t="s">
        <v>278</v>
      </c>
      <c r="B105" s="981" t="s">
        <v>251</v>
      </c>
      <c r="C105" s="981" t="s">
        <v>291</v>
      </c>
      <c r="D105" s="981" t="s">
        <v>41</v>
      </c>
      <c r="E105" s="981">
        <v>0</v>
      </c>
      <c r="F105" s="981">
        <v>0</v>
      </c>
      <c r="G105" s="981">
        <v>0</v>
      </c>
      <c r="H105" s="981">
        <v>0</v>
      </c>
    </row>
    <row r="106" spans="1:8" x14ac:dyDescent="0.25">
      <c r="A106" s="981" t="s">
        <v>278</v>
      </c>
      <c r="B106" s="981" t="s">
        <v>251</v>
      </c>
      <c r="C106" s="981" t="s">
        <v>292</v>
      </c>
      <c r="D106" s="981" t="s">
        <v>48</v>
      </c>
      <c r="E106" s="981">
        <v>137</v>
      </c>
      <c r="F106" s="981">
        <v>12</v>
      </c>
      <c r="G106" s="981">
        <v>33</v>
      </c>
      <c r="H106" s="981">
        <v>92</v>
      </c>
    </row>
    <row r="107" spans="1:8" x14ac:dyDescent="0.25">
      <c r="A107" s="981" t="s">
        <v>278</v>
      </c>
      <c r="B107" s="981" t="s">
        <v>251</v>
      </c>
      <c r="C107" s="981" t="s">
        <v>293</v>
      </c>
      <c r="D107" s="981" t="s">
        <v>42</v>
      </c>
      <c r="E107" s="981">
        <v>56</v>
      </c>
      <c r="F107" s="981">
        <v>5</v>
      </c>
      <c r="G107" s="981">
        <v>10</v>
      </c>
      <c r="H107" s="981">
        <v>41</v>
      </c>
    </row>
    <row r="108" spans="1:8" x14ac:dyDescent="0.25">
      <c r="A108" s="981" t="s">
        <v>278</v>
      </c>
      <c r="B108" s="981" t="s">
        <v>251</v>
      </c>
      <c r="C108" s="981" t="s">
        <v>294</v>
      </c>
      <c r="D108" s="981" t="s">
        <v>44</v>
      </c>
      <c r="E108" s="981">
        <v>525</v>
      </c>
      <c r="F108" s="981">
        <v>52</v>
      </c>
      <c r="G108" s="981">
        <v>102</v>
      </c>
      <c r="H108" s="981">
        <v>371</v>
      </c>
    </row>
    <row r="109" spans="1:8" x14ac:dyDescent="0.25">
      <c r="A109" s="981" t="s">
        <v>278</v>
      </c>
      <c r="B109" s="981" t="s">
        <v>251</v>
      </c>
      <c r="C109" s="981" t="s">
        <v>295</v>
      </c>
      <c r="D109" s="981" t="s">
        <v>45</v>
      </c>
      <c r="E109" s="981">
        <v>39</v>
      </c>
      <c r="F109" s="981">
        <v>3</v>
      </c>
      <c r="G109" s="981">
        <v>6</v>
      </c>
      <c r="H109" s="981">
        <v>30</v>
      </c>
    </row>
    <row r="110" spans="1:8" x14ac:dyDescent="0.25">
      <c r="A110" s="981" t="s">
        <v>278</v>
      </c>
      <c r="B110" s="981" t="s">
        <v>251</v>
      </c>
      <c r="C110" s="981" t="s">
        <v>296</v>
      </c>
      <c r="D110" s="981" t="s">
        <v>46</v>
      </c>
      <c r="E110" s="981">
        <v>11</v>
      </c>
      <c r="F110" s="981">
        <v>1</v>
      </c>
      <c r="G110" s="981">
        <v>2</v>
      </c>
      <c r="H110" s="981">
        <v>8</v>
      </c>
    </row>
    <row r="111" spans="1:8" x14ac:dyDescent="0.25">
      <c r="A111" s="981" t="s">
        <v>278</v>
      </c>
      <c r="B111" s="981" t="s">
        <v>251</v>
      </c>
      <c r="C111" s="981" t="s">
        <v>297</v>
      </c>
      <c r="D111" s="981" t="s">
        <v>47</v>
      </c>
      <c r="E111" s="981">
        <v>125</v>
      </c>
      <c r="F111" s="981">
        <v>13</v>
      </c>
      <c r="G111" s="981">
        <v>26</v>
      </c>
      <c r="H111" s="981">
        <v>86</v>
      </c>
    </row>
    <row r="112" spans="1:8" x14ac:dyDescent="0.25">
      <c r="A112" s="981" t="s">
        <v>278</v>
      </c>
      <c r="B112" s="981" t="s">
        <v>251</v>
      </c>
      <c r="C112" s="981" t="s">
        <v>298</v>
      </c>
      <c r="D112" s="981" t="s">
        <v>49</v>
      </c>
      <c r="E112" s="981">
        <v>106</v>
      </c>
      <c r="F112" s="981">
        <v>10</v>
      </c>
      <c r="G112" s="981">
        <v>12</v>
      </c>
      <c r="H112" s="981">
        <v>84</v>
      </c>
    </row>
    <row r="113" spans="1:8" x14ac:dyDescent="0.25">
      <c r="A113" s="981" t="s">
        <v>278</v>
      </c>
      <c r="B113" s="981" t="s">
        <v>251</v>
      </c>
      <c r="C113" s="981" t="s">
        <v>299</v>
      </c>
      <c r="D113" s="981" t="s">
        <v>51</v>
      </c>
      <c r="E113" s="981">
        <v>95</v>
      </c>
      <c r="F113" s="981">
        <v>11</v>
      </c>
      <c r="G113" s="981">
        <v>21</v>
      </c>
      <c r="H113" s="981">
        <v>63</v>
      </c>
    </row>
    <row r="114" spans="1:8" x14ac:dyDescent="0.25">
      <c r="A114" s="981" t="s">
        <v>278</v>
      </c>
      <c r="B114" s="981" t="s">
        <v>251</v>
      </c>
      <c r="C114" s="981" t="s">
        <v>300</v>
      </c>
      <c r="D114" s="981" t="s">
        <v>52</v>
      </c>
      <c r="E114" s="981">
        <v>122</v>
      </c>
      <c r="F114" s="981">
        <v>9</v>
      </c>
      <c r="G114" s="981">
        <v>23</v>
      </c>
      <c r="H114" s="981">
        <v>90</v>
      </c>
    </row>
    <row r="115" spans="1:8" x14ac:dyDescent="0.25">
      <c r="A115" s="981" t="s">
        <v>278</v>
      </c>
      <c r="B115" s="981" t="s">
        <v>251</v>
      </c>
      <c r="C115" s="981" t="s">
        <v>301</v>
      </c>
      <c r="D115" s="981" t="s">
        <v>54</v>
      </c>
      <c r="E115" s="981">
        <v>143</v>
      </c>
      <c r="F115" s="981">
        <v>13</v>
      </c>
      <c r="G115" s="981">
        <v>27</v>
      </c>
      <c r="H115" s="981">
        <v>103</v>
      </c>
    </row>
    <row r="116" spans="1:8" x14ac:dyDescent="0.25">
      <c r="A116" s="981" t="s">
        <v>278</v>
      </c>
      <c r="B116" s="981" t="s">
        <v>251</v>
      </c>
      <c r="C116" s="981" t="s">
        <v>302</v>
      </c>
      <c r="D116" s="981" t="s">
        <v>55</v>
      </c>
      <c r="E116" s="981">
        <v>122</v>
      </c>
      <c r="F116" s="981">
        <v>12</v>
      </c>
      <c r="G116" s="981">
        <v>27</v>
      </c>
      <c r="H116" s="981">
        <v>83</v>
      </c>
    </row>
    <row r="117" spans="1:8" x14ac:dyDescent="0.25">
      <c r="A117" s="981" t="s">
        <v>278</v>
      </c>
      <c r="B117" s="981" t="s">
        <v>251</v>
      </c>
      <c r="C117" s="981" t="s">
        <v>303</v>
      </c>
      <c r="D117" s="981" t="s">
        <v>56</v>
      </c>
      <c r="E117" s="981">
        <v>48</v>
      </c>
      <c r="F117" s="981">
        <v>5</v>
      </c>
      <c r="G117" s="981">
        <v>8</v>
      </c>
      <c r="H117" s="981">
        <v>35</v>
      </c>
    </row>
    <row r="118" spans="1:8" x14ac:dyDescent="0.25">
      <c r="A118" s="981" t="s">
        <v>278</v>
      </c>
      <c r="B118" s="981" t="s">
        <v>251</v>
      </c>
      <c r="C118" s="981" t="s">
        <v>304</v>
      </c>
      <c r="D118" s="981" t="s">
        <v>57</v>
      </c>
      <c r="E118" s="981">
        <v>74</v>
      </c>
      <c r="F118" s="981">
        <v>8</v>
      </c>
      <c r="G118" s="981">
        <v>9</v>
      </c>
      <c r="H118" s="981">
        <v>57</v>
      </c>
    </row>
    <row r="119" spans="1:8" x14ac:dyDescent="0.25">
      <c r="A119" s="981" t="s">
        <v>278</v>
      </c>
      <c r="B119" s="981" t="s">
        <v>251</v>
      </c>
      <c r="C119" s="981" t="s">
        <v>305</v>
      </c>
      <c r="D119" s="981" t="s">
        <v>58</v>
      </c>
      <c r="E119" s="981">
        <v>73</v>
      </c>
      <c r="F119" s="981">
        <v>8</v>
      </c>
      <c r="G119" s="981">
        <v>17</v>
      </c>
      <c r="H119" s="981">
        <v>48</v>
      </c>
    </row>
    <row r="120" spans="1:8" x14ac:dyDescent="0.25">
      <c r="A120" s="981" t="s">
        <v>278</v>
      </c>
      <c r="B120" s="981" t="s">
        <v>251</v>
      </c>
      <c r="C120" s="981" t="s">
        <v>306</v>
      </c>
      <c r="D120" s="981" t="s">
        <v>31</v>
      </c>
      <c r="E120" s="981">
        <v>8</v>
      </c>
      <c r="F120" s="981">
        <v>1</v>
      </c>
      <c r="G120" s="981">
        <v>2</v>
      </c>
      <c r="H120" s="981">
        <v>5</v>
      </c>
    </row>
    <row r="121" spans="1:8" x14ac:dyDescent="0.25">
      <c r="A121" s="981" t="s">
        <v>278</v>
      </c>
      <c r="B121" s="981" t="s">
        <v>251</v>
      </c>
      <c r="C121" s="981" t="s">
        <v>307</v>
      </c>
      <c r="D121" s="981" t="s">
        <v>32</v>
      </c>
      <c r="E121" s="981">
        <v>282</v>
      </c>
      <c r="F121" s="981">
        <v>26</v>
      </c>
      <c r="G121" s="981">
        <v>68</v>
      </c>
      <c r="H121" s="981">
        <v>188</v>
      </c>
    </row>
    <row r="122" spans="1:8" x14ac:dyDescent="0.25">
      <c r="A122" s="981" t="s">
        <v>278</v>
      </c>
      <c r="B122" s="981" t="s">
        <v>251</v>
      </c>
      <c r="C122" s="981" t="s">
        <v>308</v>
      </c>
      <c r="D122" s="981" t="s">
        <v>34</v>
      </c>
      <c r="E122" s="981">
        <v>185</v>
      </c>
      <c r="F122" s="981">
        <v>14</v>
      </c>
      <c r="G122" s="981">
        <v>27</v>
      </c>
      <c r="H122" s="981">
        <v>144</v>
      </c>
    </row>
    <row r="123" spans="1:8" x14ac:dyDescent="0.25">
      <c r="A123" s="981" t="s">
        <v>278</v>
      </c>
      <c r="B123" s="981" t="s">
        <v>251</v>
      </c>
      <c r="C123" s="981" t="s">
        <v>309</v>
      </c>
      <c r="D123" s="981" t="s">
        <v>262</v>
      </c>
      <c r="E123" s="981">
        <v>12</v>
      </c>
      <c r="F123" s="981">
        <v>1</v>
      </c>
      <c r="G123" s="981">
        <v>1</v>
      </c>
      <c r="H123" s="981">
        <v>10</v>
      </c>
    </row>
    <row r="124" spans="1:8" x14ac:dyDescent="0.25">
      <c r="A124" s="981" t="s">
        <v>278</v>
      </c>
      <c r="B124" s="981" t="s">
        <v>251</v>
      </c>
      <c r="C124" s="981" t="s">
        <v>310</v>
      </c>
      <c r="D124" s="981" t="s">
        <v>53</v>
      </c>
      <c r="E124" s="981">
        <v>13</v>
      </c>
      <c r="F124" s="981">
        <v>1</v>
      </c>
      <c r="G124" s="981">
        <v>2</v>
      </c>
      <c r="H124" s="981">
        <v>10</v>
      </c>
    </row>
    <row r="125" spans="1:8" x14ac:dyDescent="0.25">
      <c r="A125" s="981" t="s">
        <v>278</v>
      </c>
      <c r="B125" s="981" t="s">
        <v>251</v>
      </c>
      <c r="C125" s="981" t="s">
        <v>311</v>
      </c>
      <c r="D125" s="981" t="s">
        <v>59</v>
      </c>
      <c r="E125" s="981">
        <v>17</v>
      </c>
      <c r="F125" s="981">
        <v>1</v>
      </c>
      <c r="G125" s="981">
        <v>2</v>
      </c>
      <c r="H125" s="981">
        <v>14</v>
      </c>
    </row>
    <row r="126" spans="1:8" x14ac:dyDescent="0.25">
      <c r="A126" s="981" t="s">
        <v>278</v>
      </c>
      <c r="B126" s="981" t="s">
        <v>251</v>
      </c>
      <c r="C126" s="981" t="s">
        <v>312</v>
      </c>
      <c r="D126" s="981" t="s">
        <v>60</v>
      </c>
      <c r="E126" s="981">
        <v>64</v>
      </c>
      <c r="F126" s="981">
        <v>5</v>
      </c>
      <c r="G126" s="981">
        <v>12</v>
      </c>
      <c r="H126" s="981">
        <v>47</v>
      </c>
    </row>
    <row r="127" spans="1:8" x14ac:dyDescent="0.25">
      <c r="A127" s="981" t="s">
        <v>278</v>
      </c>
      <c r="B127" s="981" t="s">
        <v>251</v>
      </c>
      <c r="C127" s="981" t="s">
        <v>313</v>
      </c>
      <c r="D127" s="981" t="s">
        <v>33</v>
      </c>
      <c r="E127" s="981">
        <v>94</v>
      </c>
      <c r="F127" s="981">
        <v>6</v>
      </c>
      <c r="G127" s="981">
        <v>17</v>
      </c>
      <c r="H127" s="981">
        <v>71</v>
      </c>
    </row>
    <row r="128" spans="1:8" x14ac:dyDescent="0.25">
      <c r="A128" s="981" t="s">
        <v>278</v>
      </c>
      <c r="B128" s="981" t="s">
        <v>251</v>
      </c>
      <c r="C128" s="981" t="s">
        <v>314</v>
      </c>
      <c r="D128" s="981" t="s">
        <v>37</v>
      </c>
      <c r="E128" s="981">
        <v>13</v>
      </c>
      <c r="F128" s="981">
        <v>1</v>
      </c>
      <c r="G128" s="981">
        <v>3</v>
      </c>
      <c r="H128" s="981">
        <v>9</v>
      </c>
    </row>
    <row r="129" spans="1:8" x14ac:dyDescent="0.25">
      <c r="A129" s="981" t="s">
        <v>278</v>
      </c>
      <c r="B129" s="981" t="s">
        <v>251</v>
      </c>
      <c r="C129" s="981" t="s">
        <v>315</v>
      </c>
      <c r="D129" s="981" t="s">
        <v>50</v>
      </c>
      <c r="E129" s="981">
        <v>35</v>
      </c>
      <c r="F129" s="981">
        <v>3</v>
      </c>
      <c r="G129" s="981">
        <v>6</v>
      </c>
      <c r="H129" s="981">
        <v>26</v>
      </c>
    </row>
    <row r="130" spans="1:8" x14ac:dyDescent="0.25">
      <c r="A130" s="981" t="s">
        <v>278</v>
      </c>
      <c r="B130" s="981" t="s">
        <v>251</v>
      </c>
      <c r="C130" s="981" t="s">
        <v>316</v>
      </c>
      <c r="D130" s="981" t="s">
        <v>39</v>
      </c>
      <c r="E130" s="981">
        <v>0</v>
      </c>
      <c r="F130" s="981">
        <v>0</v>
      </c>
      <c r="G130" s="981">
        <v>0</v>
      </c>
      <c r="H130" s="981">
        <v>0</v>
      </c>
    </row>
    <row r="131" spans="1:8" x14ac:dyDescent="0.25">
      <c r="A131" s="981" t="s">
        <v>278</v>
      </c>
      <c r="B131" s="981" t="s">
        <v>251</v>
      </c>
      <c r="C131" s="981" t="s">
        <v>317</v>
      </c>
      <c r="D131" s="981" t="s">
        <v>124</v>
      </c>
      <c r="E131" s="981">
        <v>0</v>
      </c>
      <c r="F131" s="981">
        <v>0</v>
      </c>
      <c r="G131" s="981">
        <v>0</v>
      </c>
      <c r="H131" s="981">
        <v>0</v>
      </c>
    </row>
    <row r="132" spans="1:8" x14ac:dyDescent="0.25">
      <c r="A132" s="981" t="s">
        <v>278</v>
      </c>
      <c r="B132" s="981" t="s">
        <v>251</v>
      </c>
      <c r="C132" s="981" t="s">
        <v>318</v>
      </c>
      <c r="D132" s="981" t="s">
        <v>43</v>
      </c>
      <c r="E132" s="981">
        <v>109</v>
      </c>
      <c r="F132" s="981">
        <v>9</v>
      </c>
      <c r="G132" s="981">
        <v>22</v>
      </c>
      <c r="H132" s="981">
        <v>78</v>
      </c>
    </row>
    <row r="133" spans="1:8" x14ac:dyDescent="0.25">
      <c r="A133" s="981" t="s">
        <v>259</v>
      </c>
      <c r="B133" s="981" t="s">
        <v>251</v>
      </c>
      <c r="C133" s="981" t="s">
        <v>287</v>
      </c>
      <c r="D133" s="981" t="s">
        <v>35</v>
      </c>
      <c r="E133" s="981">
        <v>22</v>
      </c>
      <c r="F133" s="981">
        <v>2</v>
      </c>
      <c r="G133" s="981">
        <v>3</v>
      </c>
      <c r="H133" s="981">
        <v>17</v>
      </c>
    </row>
    <row r="134" spans="1:8" x14ac:dyDescent="0.25">
      <c r="A134" s="981" t="s">
        <v>259</v>
      </c>
      <c r="B134" s="981" t="s">
        <v>251</v>
      </c>
      <c r="C134" s="981" t="s">
        <v>288</v>
      </c>
      <c r="D134" s="981" t="s">
        <v>36</v>
      </c>
      <c r="E134" s="981">
        <v>189</v>
      </c>
      <c r="F134" s="981">
        <v>16</v>
      </c>
      <c r="G134" s="981">
        <v>34</v>
      </c>
      <c r="H134" s="981">
        <v>139</v>
      </c>
    </row>
    <row r="135" spans="1:8" x14ac:dyDescent="0.25">
      <c r="A135" s="981" t="s">
        <v>259</v>
      </c>
      <c r="B135" s="981" t="s">
        <v>251</v>
      </c>
      <c r="C135" s="981" t="s">
        <v>289</v>
      </c>
      <c r="D135" s="981" t="s">
        <v>38</v>
      </c>
      <c r="E135" s="981">
        <v>82</v>
      </c>
      <c r="F135" s="981">
        <v>7</v>
      </c>
      <c r="G135" s="981">
        <v>9</v>
      </c>
      <c r="H135" s="981">
        <v>66</v>
      </c>
    </row>
    <row r="136" spans="1:8" x14ac:dyDescent="0.25">
      <c r="A136" s="981" t="s">
        <v>259</v>
      </c>
      <c r="B136" s="981" t="s">
        <v>251</v>
      </c>
      <c r="C136" s="981" t="s">
        <v>290</v>
      </c>
      <c r="D136" s="981" t="s">
        <v>40</v>
      </c>
      <c r="E136" s="981">
        <v>56</v>
      </c>
      <c r="F136" s="981">
        <v>5</v>
      </c>
      <c r="G136" s="981">
        <v>10</v>
      </c>
      <c r="H136" s="981">
        <v>41</v>
      </c>
    </row>
    <row r="137" spans="1:8" x14ac:dyDescent="0.25">
      <c r="A137" s="981" t="s">
        <v>259</v>
      </c>
      <c r="B137" s="981" t="s">
        <v>251</v>
      </c>
      <c r="C137" s="981" t="s">
        <v>292</v>
      </c>
      <c r="D137" s="981" t="s">
        <v>48</v>
      </c>
      <c r="E137" s="981">
        <v>131</v>
      </c>
      <c r="F137" s="981">
        <v>13</v>
      </c>
      <c r="G137" s="981">
        <v>25</v>
      </c>
      <c r="H137" s="981">
        <v>93</v>
      </c>
    </row>
    <row r="138" spans="1:8" x14ac:dyDescent="0.25">
      <c r="A138" s="981" t="s">
        <v>259</v>
      </c>
      <c r="B138" s="981" t="s">
        <v>251</v>
      </c>
      <c r="C138" s="981" t="s">
        <v>293</v>
      </c>
      <c r="D138" s="981" t="s">
        <v>42</v>
      </c>
      <c r="E138" s="981">
        <v>54</v>
      </c>
      <c r="F138" s="981">
        <v>5</v>
      </c>
      <c r="G138" s="981">
        <v>11</v>
      </c>
      <c r="H138" s="981">
        <v>38</v>
      </c>
    </row>
    <row r="139" spans="1:8" x14ac:dyDescent="0.25">
      <c r="A139" s="981" t="s">
        <v>259</v>
      </c>
      <c r="B139" s="981" t="s">
        <v>251</v>
      </c>
      <c r="C139" s="981" t="s">
        <v>294</v>
      </c>
      <c r="D139" s="981" t="s">
        <v>44</v>
      </c>
      <c r="E139" s="981">
        <v>538</v>
      </c>
      <c r="F139" s="981">
        <v>55</v>
      </c>
      <c r="G139" s="981">
        <v>106</v>
      </c>
      <c r="H139" s="981">
        <v>377</v>
      </c>
    </row>
    <row r="140" spans="1:8" x14ac:dyDescent="0.25">
      <c r="A140" s="981" t="s">
        <v>259</v>
      </c>
      <c r="B140" s="981" t="s">
        <v>251</v>
      </c>
      <c r="C140" s="981" t="s">
        <v>295</v>
      </c>
      <c r="D140" s="981" t="s">
        <v>45</v>
      </c>
      <c r="E140" s="981">
        <v>42</v>
      </c>
      <c r="F140" s="981">
        <v>3</v>
      </c>
      <c r="G140" s="981">
        <v>6</v>
      </c>
      <c r="H140" s="981">
        <v>33</v>
      </c>
    </row>
    <row r="141" spans="1:8" x14ac:dyDescent="0.25">
      <c r="A141" s="981" t="s">
        <v>259</v>
      </c>
      <c r="B141" s="981" t="s">
        <v>251</v>
      </c>
      <c r="C141" s="981" t="s">
        <v>296</v>
      </c>
      <c r="D141" s="981" t="s">
        <v>46</v>
      </c>
      <c r="E141" s="981">
        <v>12</v>
      </c>
      <c r="F141" s="981">
        <v>1</v>
      </c>
      <c r="G141" s="981">
        <v>2</v>
      </c>
      <c r="H141" s="981">
        <v>9</v>
      </c>
    </row>
    <row r="142" spans="1:8" x14ac:dyDescent="0.25">
      <c r="A142" s="981" t="s">
        <v>259</v>
      </c>
      <c r="B142" s="981" t="s">
        <v>251</v>
      </c>
      <c r="C142" s="981" t="s">
        <v>297</v>
      </c>
      <c r="D142" s="981" t="s">
        <v>47</v>
      </c>
      <c r="E142" s="981">
        <v>120</v>
      </c>
      <c r="F142" s="981">
        <v>12</v>
      </c>
      <c r="G142" s="981">
        <v>27</v>
      </c>
      <c r="H142" s="981">
        <v>81</v>
      </c>
    </row>
    <row r="143" spans="1:8" x14ac:dyDescent="0.25">
      <c r="A143" s="981" t="s">
        <v>259</v>
      </c>
      <c r="B143" s="981" t="s">
        <v>251</v>
      </c>
      <c r="C143" s="981" t="s">
        <v>298</v>
      </c>
      <c r="D143" s="981" t="s">
        <v>49</v>
      </c>
      <c r="E143" s="981">
        <v>106</v>
      </c>
      <c r="F143" s="981">
        <v>10</v>
      </c>
      <c r="G143" s="981">
        <v>10</v>
      </c>
      <c r="H143" s="981">
        <v>86</v>
      </c>
    </row>
    <row r="144" spans="1:8" x14ac:dyDescent="0.25">
      <c r="A144" s="981" t="s">
        <v>259</v>
      </c>
      <c r="B144" s="981" t="s">
        <v>251</v>
      </c>
      <c r="C144" s="981" t="s">
        <v>299</v>
      </c>
      <c r="D144" s="981" t="s">
        <v>51</v>
      </c>
      <c r="E144" s="981">
        <v>100</v>
      </c>
      <c r="F144" s="981">
        <v>9</v>
      </c>
      <c r="G144" s="981">
        <v>22</v>
      </c>
      <c r="H144" s="981">
        <v>69</v>
      </c>
    </row>
    <row r="145" spans="1:8" x14ac:dyDescent="0.25">
      <c r="A145" s="981" t="s">
        <v>259</v>
      </c>
      <c r="B145" s="981" t="s">
        <v>251</v>
      </c>
      <c r="C145" s="981" t="s">
        <v>300</v>
      </c>
      <c r="D145" s="981" t="s">
        <v>52</v>
      </c>
      <c r="E145" s="981">
        <v>126</v>
      </c>
      <c r="F145" s="981">
        <v>9</v>
      </c>
      <c r="G145" s="981">
        <v>23</v>
      </c>
      <c r="H145" s="981">
        <v>94</v>
      </c>
    </row>
    <row r="146" spans="1:8" x14ac:dyDescent="0.25">
      <c r="A146" s="981" t="s">
        <v>259</v>
      </c>
      <c r="B146" s="981" t="s">
        <v>251</v>
      </c>
      <c r="C146" s="981" t="s">
        <v>301</v>
      </c>
      <c r="D146" s="981" t="s">
        <v>54</v>
      </c>
      <c r="E146" s="981">
        <v>143</v>
      </c>
      <c r="F146" s="981">
        <v>13</v>
      </c>
      <c r="G146" s="981">
        <v>27</v>
      </c>
      <c r="H146" s="981">
        <v>103</v>
      </c>
    </row>
    <row r="147" spans="1:8" x14ac:dyDescent="0.25">
      <c r="A147" s="981" t="s">
        <v>259</v>
      </c>
      <c r="B147" s="981" t="s">
        <v>251</v>
      </c>
      <c r="C147" s="981" t="s">
        <v>302</v>
      </c>
      <c r="D147" s="981" t="s">
        <v>55</v>
      </c>
      <c r="E147" s="981">
        <v>118</v>
      </c>
      <c r="F147" s="981">
        <v>12</v>
      </c>
      <c r="G147" s="981">
        <v>24</v>
      </c>
      <c r="H147" s="981">
        <v>82</v>
      </c>
    </row>
    <row r="148" spans="1:8" x14ac:dyDescent="0.25">
      <c r="A148" s="981" t="s">
        <v>259</v>
      </c>
      <c r="B148" s="981" t="s">
        <v>251</v>
      </c>
      <c r="C148" s="981" t="s">
        <v>303</v>
      </c>
      <c r="D148" s="981" t="s">
        <v>56</v>
      </c>
      <c r="E148" s="981">
        <v>49</v>
      </c>
      <c r="F148" s="981">
        <v>5</v>
      </c>
      <c r="G148" s="981">
        <v>6</v>
      </c>
      <c r="H148" s="981">
        <v>38</v>
      </c>
    </row>
    <row r="149" spans="1:8" x14ac:dyDescent="0.25">
      <c r="A149" s="981" t="s">
        <v>259</v>
      </c>
      <c r="B149" s="981" t="s">
        <v>251</v>
      </c>
      <c r="C149" s="981" t="s">
        <v>304</v>
      </c>
      <c r="D149" s="981" t="s">
        <v>57</v>
      </c>
      <c r="E149" s="981">
        <v>73</v>
      </c>
      <c r="F149" s="981">
        <v>9</v>
      </c>
      <c r="G149" s="981">
        <v>8</v>
      </c>
      <c r="H149" s="981">
        <v>56</v>
      </c>
    </row>
    <row r="150" spans="1:8" x14ac:dyDescent="0.25">
      <c r="A150" s="981" t="s">
        <v>259</v>
      </c>
      <c r="B150" s="981" t="s">
        <v>251</v>
      </c>
      <c r="C150" s="981" t="s">
        <v>305</v>
      </c>
      <c r="D150" s="981" t="s">
        <v>58</v>
      </c>
      <c r="E150" s="981">
        <v>74</v>
      </c>
      <c r="F150" s="981">
        <v>8</v>
      </c>
      <c r="G150" s="981">
        <v>15</v>
      </c>
      <c r="H150" s="981">
        <v>51</v>
      </c>
    </row>
    <row r="151" spans="1:8" x14ac:dyDescent="0.25">
      <c r="A151" s="981" t="s">
        <v>259</v>
      </c>
      <c r="B151" s="981" t="s">
        <v>251</v>
      </c>
      <c r="C151" s="981" t="s">
        <v>306</v>
      </c>
      <c r="D151" s="981" t="s">
        <v>31</v>
      </c>
      <c r="E151" s="981">
        <v>8</v>
      </c>
      <c r="F151" s="981">
        <v>1</v>
      </c>
      <c r="G151" s="981">
        <v>1</v>
      </c>
      <c r="H151" s="981">
        <v>6</v>
      </c>
    </row>
    <row r="152" spans="1:8" x14ac:dyDescent="0.25">
      <c r="A152" s="981" t="s">
        <v>259</v>
      </c>
      <c r="B152" s="981" t="s">
        <v>251</v>
      </c>
      <c r="C152" s="981" t="s">
        <v>307</v>
      </c>
      <c r="D152" s="981" t="s">
        <v>32</v>
      </c>
      <c r="E152" s="981">
        <v>275</v>
      </c>
      <c r="F152" s="981">
        <v>24</v>
      </c>
      <c r="G152" s="981">
        <v>69</v>
      </c>
      <c r="H152" s="981">
        <v>182</v>
      </c>
    </row>
    <row r="153" spans="1:8" x14ac:dyDescent="0.25">
      <c r="A153" s="981" t="s">
        <v>259</v>
      </c>
      <c r="B153" s="981" t="s">
        <v>251</v>
      </c>
      <c r="C153" s="981" t="s">
        <v>308</v>
      </c>
      <c r="D153" s="981" t="s">
        <v>34</v>
      </c>
      <c r="E153" s="981">
        <v>177</v>
      </c>
      <c r="F153" s="981">
        <v>14</v>
      </c>
      <c r="G153" s="981">
        <v>26</v>
      </c>
      <c r="H153" s="981">
        <v>137</v>
      </c>
    </row>
    <row r="154" spans="1:8" x14ac:dyDescent="0.25">
      <c r="A154" s="981" t="s">
        <v>259</v>
      </c>
      <c r="B154" s="981" t="s">
        <v>251</v>
      </c>
      <c r="C154" s="981" t="s">
        <v>309</v>
      </c>
      <c r="D154" s="981" t="s">
        <v>262</v>
      </c>
      <c r="E154" s="981">
        <v>11</v>
      </c>
      <c r="F154" s="981">
        <v>1</v>
      </c>
      <c r="G154" s="981">
        <v>1</v>
      </c>
      <c r="H154" s="981">
        <v>9</v>
      </c>
    </row>
    <row r="155" spans="1:8" x14ac:dyDescent="0.25">
      <c r="A155" s="981" t="s">
        <v>259</v>
      </c>
      <c r="B155" s="981" t="s">
        <v>251</v>
      </c>
      <c r="C155" s="981" t="s">
        <v>310</v>
      </c>
      <c r="D155" s="981" t="s">
        <v>53</v>
      </c>
      <c r="E155" s="981">
        <v>16</v>
      </c>
      <c r="F155" s="981">
        <v>1</v>
      </c>
      <c r="G155" s="981">
        <v>2</v>
      </c>
      <c r="H155" s="981">
        <v>13</v>
      </c>
    </row>
    <row r="156" spans="1:8" x14ac:dyDescent="0.25">
      <c r="A156" s="981" t="s">
        <v>259</v>
      </c>
      <c r="B156" s="981" t="s">
        <v>251</v>
      </c>
      <c r="C156" s="981" t="s">
        <v>311</v>
      </c>
      <c r="D156" s="981" t="s">
        <v>59</v>
      </c>
      <c r="E156" s="981">
        <v>18</v>
      </c>
      <c r="F156" s="981">
        <v>2</v>
      </c>
      <c r="G156" s="981">
        <v>2</v>
      </c>
      <c r="H156" s="981">
        <v>14</v>
      </c>
    </row>
    <row r="157" spans="1:8" x14ac:dyDescent="0.25">
      <c r="A157" s="981" t="s">
        <v>259</v>
      </c>
      <c r="B157" s="981" t="s">
        <v>251</v>
      </c>
      <c r="C157" s="981" t="s">
        <v>312</v>
      </c>
      <c r="D157" s="981" t="s">
        <v>60</v>
      </c>
      <c r="E157" s="981">
        <v>65</v>
      </c>
      <c r="F157" s="981">
        <v>5</v>
      </c>
      <c r="G157" s="981">
        <v>11</v>
      </c>
      <c r="H157" s="981">
        <v>49</v>
      </c>
    </row>
    <row r="158" spans="1:8" x14ac:dyDescent="0.25">
      <c r="A158" s="981" t="s">
        <v>259</v>
      </c>
      <c r="B158" s="981" t="s">
        <v>251</v>
      </c>
      <c r="C158" s="981" t="s">
        <v>313</v>
      </c>
      <c r="D158" s="981" t="s">
        <v>33</v>
      </c>
      <c r="E158" s="981">
        <v>93</v>
      </c>
      <c r="F158" s="981">
        <v>6</v>
      </c>
      <c r="G158" s="981">
        <v>16</v>
      </c>
      <c r="H158" s="981">
        <v>71</v>
      </c>
    </row>
    <row r="159" spans="1:8" x14ac:dyDescent="0.25">
      <c r="A159" s="981" t="s">
        <v>259</v>
      </c>
      <c r="B159" s="981" t="s">
        <v>251</v>
      </c>
      <c r="C159" s="981" t="s">
        <v>314</v>
      </c>
      <c r="D159" s="981" t="s">
        <v>37</v>
      </c>
      <c r="E159" s="981">
        <v>13</v>
      </c>
      <c r="F159" s="981">
        <v>1</v>
      </c>
      <c r="G159" s="981">
        <v>2</v>
      </c>
      <c r="H159" s="981">
        <v>10</v>
      </c>
    </row>
    <row r="160" spans="1:8" x14ac:dyDescent="0.25">
      <c r="A160" s="981" t="s">
        <v>259</v>
      </c>
      <c r="B160" s="981" t="s">
        <v>251</v>
      </c>
      <c r="C160" s="981" t="s">
        <v>315</v>
      </c>
      <c r="D160" s="981" t="s">
        <v>50</v>
      </c>
      <c r="E160" s="981">
        <v>37</v>
      </c>
      <c r="F160" s="981">
        <v>3</v>
      </c>
      <c r="G160" s="981">
        <v>6</v>
      </c>
      <c r="H160" s="981">
        <v>28</v>
      </c>
    </row>
    <row r="161" spans="1:8" x14ac:dyDescent="0.25">
      <c r="A161" s="981" t="s">
        <v>259</v>
      </c>
      <c r="B161" s="981" t="s">
        <v>251</v>
      </c>
      <c r="C161" s="981" t="s">
        <v>318</v>
      </c>
      <c r="D161" s="981" t="s">
        <v>43</v>
      </c>
      <c r="E161" s="981">
        <v>115</v>
      </c>
      <c r="F161" s="981">
        <v>9</v>
      </c>
      <c r="G161" s="981">
        <v>21</v>
      </c>
      <c r="H161" s="981">
        <v>85</v>
      </c>
    </row>
    <row r="162" spans="1:8" x14ac:dyDescent="0.25">
      <c r="A162" s="981" t="s">
        <v>258</v>
      </c>
      <c r="B162" s="981" t="s">
        <v>251</v>
      </c>
      <c r="C162" s="981" t="s">
        <v>287</v>
      </c>
      <c r="D162" s="981" t="s">
        <v>35</v>
      </c>
      <c r="E162" s="981">
        <v>20</v>
      </c>
      <c r="F162" s="981">
        <v>2</v>
      </c>
      <c r="G162" s="981">
        <v>4</v>
      </c>
      <c r="H162" s="981">
        <v>14</v>
      </c>
    </row>
    <row r="163" spans="1:8" x14ac:dyDescent="0.25">
      <c r="A163" s="981" t="s">
        <v>258</v>
      </c>
      <c r="B163" s="981" t="s">
        <v>251</v>
      </c>
      <c r="C163" s="981" t="s">
        <v>288</v>
      </c>
      <c r="D163" s="981" t="s">
        <v>36</v>
      </c>
      <c r="E163" s="981">
        <v>199</v>
      </c>
      <c r="F163" s="981">
        <v>18</v>
      </c>
      <c r="G163" s="981">
        <v>34</v>
      </c>
      <c r="H163" s="981">
        <v>147</v>
      </c>
    </row>
    <row r="164" spans="1:8" x14ac:dyDescent="0.25">
      <c r="A164" s="981" t="s">
        <v>258</v>
      </c>
      <c r="B164" s="981" t="s">
        <v>251</v>
      </c>
      <c r="C164" s="981" t="s">
        <v>289</v>
      </c>
      <c r="D164" s="981" t="s">
        <v>38</v>
      </c>
      <c r="E164" s="981">
        <v>77</v>
      </c>
      <c r="F164" s="981">
        <v>5</v>
      </c>
      <c r="G164" s="981">
        <v>10</v>
      </c>
      <c r="H164" s="981">
        <v>62</v>
      </c>
    </row>
    <row r="165" spans="1:8" x14ac:dyDescent="0.25">
      <c r="A165" s="981" t="s">
        <v>258</v>
      </c>
      <c r="B165" s="981" t="s">
        <v>251</v>
      </c>
      <c r="C165" s="981" t="s">
        <v>290</v>
      </c>
      <c r="D165" s="981" t="s">
        <v>40</v>
      </c>
      <c r="E165" s="981">
        <v>63</v>
      </c>
      <c r="F165" s="981">
        <v>6</v>
      </c>
      <c r="G165" s="981">
        <v>12</v>
      </c>
      <c r="H165" s="981">
        <v>45</v>
      </c>
    </row>
    <row r="166" spans="1:8" x14ac:dyDescent="0.25">
      <c r="A166" s="981" t="s">
        <v>258</v>
      </c>
      <c r="B166" s="981" t="s">
        <v>251</v>
      </c>
      <c r="C166" s="981" t="s">
        <v>292</v>
      </c>
      <c r="D166" s="981" t="s">
        <v>48</v>
      </c>
      <c r="E166" s="981">
        <v>133</v>
      </c>
      <c r="F166" s="981">
        <v>14</v>
      </c>
      <c r="G166" s="981">
        <v>25</v>
      </c>
      <c r="H166" s="981">
        <v>94</v>
      </c>
    </row>
    <row r="167" spans="1:8" x14ac:dyDescent="0.25">
      <c r="A167" s="981" t="s">
        <v>258</v>
      </c>
      <c r="B167" s="981" t="s">
        <v>251</v>
      </c>
      <c r="C167" s="981" t="s">
        <v>293</v>
      </c>
      <c r="D167" s="981" t="s">
        <v>42</v>
      </c>
      <c r="E167" s="981">
        <v>55</v>
      </c>
      <c r="F167" s="981">
        <v>5</v>
      </c>
      <c r="G167" s="981">
        <v>10</v>
      </c>
      <c r="H167" s="981">
        <v>40</v>
      </c>
    </row>
    <row r="168" spans="1:8" x14ac:dyDescent="0.25">
      <c r="A168" s="981" t="s">
        <v>258</v>
      </c>
      <c r="B168" s="981" t="s">
        <v>251</v>
      </c>
      <c r="C168" s="981" t="s">
        <v>294</v>
      </c>
      <c r="D168" s="981" t="s">
        <v>44</v>
      </c>
      <c r="E168" s="981">
        <v>556</v>
      </c>
      <c r="F168" s="981">
        <v>60</v>
      </c>
      <c r="G168" s="981">
        <v>103</v>
      </c>
      <c r="H168" s="981">
        <v>393</v>
      </c>
    </row>
    <row r="169" spans="1:8" x14ac:dyDescent="0.25">
      <c r="A169" s="981" t="s">
        <v>258</v>
      </c>
      <c r="B169" s="981" t="s">
        <v>251</v>
      </c>
      <c r="C169" s="981" t="s">
        <v>295</v>
      </c>
      <c r="D169" s="981" t="s">
        <v>45</v>
      </c>
      <c r="E169" s="981">
        <v>44</v>
      </c>
      <c r="F169" s="981">
        <v>3</v>
      </c>
      <c r="G169" s="981">
        <v>6</v>
      </c>
      <c r="H169" s="981">
        <v>35</v>
      </c>
    </row>
    <row r="170" spans="1:8" x14ac:dyDescent="0.25">
      <c r="A170" s="981" t="s">
        <v>258</v>
      </c>
      <c r="B170" s="981" t="s">
        <v>251</v>
      </c>
      <c r="C170" s="981" t="s">
        <v>296</v>
      </c>
      <c r="D170" s="981" t="s">
        <v>46</v>
      </c>
      <c r="E170" s="981">
        <v>13</v>
      </c>
      <c r="F170" s="981">
        <v>1</v>
      </c>
      <c r="G170" s="981">
        <v>3</v>
      </c>
      <c r="H170" s="981">
        <v>9</v>
      </c>
    </row>
    <row r="171" spans="1:8" x14ac:dyDescent="0.25">
      <c r="A171" s="981" t="s">
        <v>258</v>
      </c>
      <c r="B171" s="981" t="s">
        <v>251</v>
      </c>
      <c r="C171" s="981" t="s">
        <v>297</v>
      </c>
      <c r="D171" s="981" t="s">
        <v>47</v>
      </c>
      <c r="E171" s="981">
        <v>121</v>
      </c>
      <c r="F171" s="981">
        <v>12</v>
      </c>
      <c r="G171" s="981">
        <v>28</v>
      </c>
      <c r="H171" s="981">
        <v>81</v>
      </c>
    </row>
    <row r="172" spans="1:8" x14ac:dyDescent="0.25">
      <c r="A172" s="981" t="s">
        <v>258</v>
      </c>
      <c r="B172" s="981" t="s">
        <v>251</v>
      </c>
      <c r="C172" s="981" t="s">
        <v>298</v>
      </c>
      <c r="D172" s="981" t="s">
        <v>49</v>
      </c>
      <c r="E172" s="981">
        <v>108</v>
      </c>
      <c r="F172" s="981">
        <v>12</v>
      </c>
      <c r="G172" s="981">
        <v>11</v>
      </c>
      <c r="H172" s="981">
        <v>85</v>
      </c>
    </row>
    <row r="173" spans="1:8" x14ac:dyDescent="0.25">
      <c r="A173" s="981" t="s">
        <v>258</v>
      </c>
      <c r="B173" s="981" t="s">
        <v>251</v>
      </c>
      <c r="C173" s="981" t="s">
        <v>299</v>
      </c>
      <c r="D173" s="981" t="s">
        <v>51</v>
      </c>
      <c r="E173" s="981">
        <v>110</v>
      </c>
      <c r="F173" s="981">
        <v>10</v>
      </c>
      <c r="G173" s="981">
        <v>23</v>
      </c>
      <c r="H173" s="981">
        <v>77</v>
      </c>
    </row>
    <row r="174" spans="1:8" x14ac:dyDescent="0.25">
      <c r="A174" s="981" t="s">
        <v>258</v>
      </c>
      <c r="B174" s="981" t="s">
        <v>251</v>
      </c>
      <c r="C174" s="981" t="s">
        <v>300</v>
      </c>
      <c r="D174" s="981" t="s">
        <v>52</v>
      </c>
      <c r="E174" s="981">
        <v>132</v>
      </c>
      <c r="F174" s="981">
        <v>11</v>
      </c>
      <c r="G174" s="981">
        <v>23</v>
      </c>
      <c r="H174" s="981">
        <v>98</v>
      </c>
    </row>
    <row r="175" spans="1:8" x14ac:dyDescent="0.25">
      <c r="A175" s="981" t="s">
        <v>258</v>
      </c>
      <c r="B175" s="981" t="s">
        <v>251</v>
      </c>
      <c r="C175" s="981" t="s">
        <v>301</v>
      </c>
      <c r="D175" s="981" t="s">
        <v>54</v>
      </c>
      <c r="E175" s="981">
        <v>144</v>
      </c>
      <c r="F175" s="981">
        <v>14</v>
      </c>
      <c r="G175" s="981">
        <v>28</v>
      </c>
      <c r="H175" s="981">
        <v>102</v>
      </c>
    </row>
    <row r="176" spans="1:8" x14ac:dyDescent="0.25">
      <c r="A176" s="981" t="s">
        <v>258</v>
      </c>
      <c r="B176" s="981" t="s">
        <v>251</v>
      </c>
      <c r="C176" s="981" t="s">
        <v>302</v>
      </c>
      <c r="D176" s="981" t="s">
        <v>55</v>
      </c>
      <c r="E176" s="981">
        <v>128</v>
      </c>
      <c r="F176" s="981">
        <v>14</v>
      </c>
      <c r="G176" s="981">
        <v>25</v>
      </c>
      <c r="H176" s="981">
        <v>89</v>
      </c>
    </row>
    <row r="177" spans="1:8" x14ac:dyDescent="0.25">
      <c r="A177" s="981" t="s">
        <v>258</v>
      </c>
      <c r="B177" s="981" t="s">
        <v>251</v>
      </c>
      <c r="C177" s="981" t="s">
        <v>303</v>
      </c>
      <c r="D177" s="981" t="s">
        <v>56</v>
      </c>
      <c r="E177" s="981">
        <v>58</v>
      </c>
      <c r="F177" s="981">
        <v>5</v>
      </c>
      <c r="G177" s="981">
        <v>7</v>
      </c>
      <c r="H177" s="981">
        <v>46</v>
      </c>
    </row>
    <row r="178" spans="1:8" x14ac:dyDescent="0.25">
      <c r="A178" s="981" t="s">
        <v>258</v>
      </c>
      <c r="B178" s="981" t="s">
        <v>251</v>
      </c>
      <c r="C178" s="981" t="s">
        <v>304</v>
      </c>
      <c r="D178" s="981" t="s">
        <v>57</v>
      </c>
      <c r="E178" s="981">
        <v>78</v>
      </c>
      <c r="F178" s="981">
        <v>9</v>
      </c>
      <c r="G178" s="981">
        <v>8</v>
      </c>
      <c r="H178" s="981">
        <v>61</v>
      </c>
    </row>
    <row r="179" spans="1:8" x14ac:dyDescent="0.25">
      <c r="A179" s="981" t="s">
        <v>258</v>
      </c>
      <c r="B179" s="981" t="s">
        <v>251</v>
      </c>
      <c r="C179" s="981" t="s">
        <v>305</v>
      </c>
      <c r="D179" s="981" t="s">
        <v>58</v>
      </c>
      <c r="E179" s="981">
        <v>76</v>
      </c>
      <c r="F179" s="981">
        <v>9</v>
      </c>
      <c r="G179" s="981">
        <v>16</v>
      </c>
      <c r="H179" s="981">
        <v>51</v>
      </c>
    </row>
    <row r="180" spans="1:8" x14ac:dyDescent="0.25">
      <c r="A180" s="981" t="s">
        <v>258</v>
      </c>
      <c r="B180" s="981" t="s">
        <v>251</v>
      </c>
      <c r="C180" s="981" t="s">
        <v>306</v>
      </c>
      <c r="D180" s="981" t="s">
        <v>31</v>
      </c>
      <c r="E180" s="981">
        <v>9</v>
      </c>
      <c r="F180" s="981">
        <v>1</v>
      </c>
      <c r="G180" s="981">
        <v>3</v>
      </c>
      <c r="H180" s="981">
        <v>5</v>
      </c>
    </row>
    <row r="181" spans="1:8" x14ac:dyDescent="0.25">
      <c r="A181" s="981" t="s">
        <v>258</v>
      </c>
      <c r="B181" s="981" t="s">
        <v>251</v>
      </c>
      <c r="C181" s="981" t="s">
        <v>307</v>
      </c>
      <c r="D181" s="981" t="s">
        <v>32</v>
      </c>
      <c r="E181" s="981">
        <v>285</v>
      </c>
      <c r="F181" s="981">
        <v>25</v>
      </c>
      <c r="G181" s="981">
        <v>69</v>
      </c>
      <c r="H181" s="981">
        <v>191</v>
      </c>
    </row>
    <row r="182" spans="1:8" x14ac:dyDescent="0.25">
      <c r="A182" s="981" t="s">
        <v>258</v>
      </c>
      <c r="B182" s="981" t="s">
        <v>251</v>
      </c>
      <c r="C182" s="981" t="s">
        <v>308</v>
      </c>
      <c r="D182" s="981" t="s">
        <v>34</v>
      </c>
      <c r="E182" s="981">
        <v>177</v>
      </c>
      <c r="F182" s="981">
        <v>15</v>
      </c>
      <c r="G182" s="981">
        <v>25</v>
      </c>
      <c r="H182" s="981">
        <v>137</v>
      </c>
    </row>
    <row r="183" spans="1:8" x14ac:dyDescent="0.25">
      <c r="A183" s="981" t="s">
        <v>258</v>
      </c>
      <c r="B183" s="981" t="s">
        <v>251</v>
      </c>
      <c r="C183" s="981" t="s">
        <v>309</v>
      </c>
      <c r="D183" s="981" t="s">
        <v>262</v>
      </c>
      <c r="E183" s="981">
        <v>9</v>
      </c>
      <c r="F183" s="981"/>
      <c r="G183" s="981">
        <v>2</v>
      </c>
      <c r="H183" s="981">
        <v>7</v>
      </c>
    </row>
    <row r="184" spans="1:8" x14ac:dyDescent="0.25">
      <c r="A184" s="981" t="s">
        <v>258</v>
      </c>
      <c r="B184" s="981" t="s">
        <v>251</v>
      </c>
      <c r="C184" s="981" t="s">
        <v>310</v>
      </c>
      <c r="D184" s="981" t="s">
        <v>53</v>
      </c>
      <c r="E184" s="981">
        <v>17</v>
      </c>
      <c r="F184" s="981">
        <v>1</v>
      </c>
      <c r="G184" s="981">
        <v>2</v>
      </c>
      <c r="H184" s="981">
        <v>14</v>
      </c>
    </row>
    <row r="185" spans="1:8" x14ac:dyDescent="0.25">
      <c r="A185" s="981" t="s">
        <v>258</v>
      </c>
      <c r="B185" s="981" t="s">
        <v>251</v>
      </c>
      <c r="C185" s="981" t="s">
        <v>311</v>
      </c>
      <c r="D185" s="981" t="s">
        <v>59</v>
      </c>
      <c r="E185" s="981">
        <v>20</v>
      </c>
      <c r="F185" s="981">
        <v>2</v>
      </c>
      <c r="G185" s="981">
        <v>2</v>
      </c>
      <c r="H185" s="981">
        <v>16</v>
      </c>
    </row>
    <row r="186" spans="1:8" x14ac:dyDescent="0.25">
      <c r="A186" s="981" t="s">
        <v>258</v>
      </c>
      <c r="B186" s="981" t="s">
        <v>251</v>
      </c>
      <c r="C186" s="981" t="s">
        <v>312</v>
      </c>
      <c r="D186" s="981" t="s">
        <v>60</v>
      </c>
      <c r="E186" s="981">
        <v>59</v>
      </c>
      <c r="F186" s="981">
        <v>5</v>
      </c>
      <c r="G186" s="981">
        <v>11</v>
      </c>
      <c r="H186" s="981">
        <v>43</v>
      </c>
    </row>
    <row r="187" spans="1:8" x14ac:dyDescent="0.25">
      <c r="A187" s="981" t="s">
        <v>258</v>
      </c>
      <c r="B187" s="981" t="s">
        <v>251</v>
      </c>
      <c r="C187" s="981" t="s">
        <v>313</v>
      </c>
      <c r="D187" s="981" t="s">
        <v>33</v>
      </c>
      <c r="E187" s="981">
        <v>98</v>
      </c>
      <c r="F187" s="981">
        <v>6</v>
      </c>
      <c r="G187" s="981">
        <v>14</v>
      </c>
      <c r="H187" s="981">
        <v>78</v>
      </c>
    </row>
    <row r="188" spans="1:8" x14ac:dyDescent="0.25">
      <c r="A188" s="981" t="s">
        <v>258</v>
      </c>
      <c r="B188" s="981" t="s">
        <v>251</v>
      </c>
      <c r="C188" s="981" t="s">
        <v>314</v>
      </c>
      <c r="D188" s="981" t="s">
        <v>37</v>
      </c>
      <c r="E188" s="981">
        <v>12</v>
      </c>
      <c r="F188" s="981">
        <v>1</v>
      </c>
      <c r="G188" s="981">
        <v>2</v>
      </c>
      <c r="H188" s="981">
        <v>9</v>
      </c>
    </row>
    <row r="189" spans="1:8" x14ac:dyDescent="0.25">
      <c r="A189" s="981" t="s">
        <v>258</v>
      </c>
      <c r="B189" s="981" t="s">
        <v>251</v>
      </c>
      <c r="C189" s="981" t="s">
        <v>315</v>
      </c>
      <c r="D189" s="981" t="s">
        <v>50</v>
      </c>
      <c r="E189" s="981">
        <v>35</v>
      </c>
      <c r="F189" s="981">
        <v>3</v>
      </c>
      <c r="G189" s="981">
        <v>6</v>
      </c>
      <c r="H189" s="981">
        <v>26</v>
      </c>
    </row>
    <row r="190" spans="1:8" x14ac:dyDescent="0.25">
      <c r="A190" s="981" t="s">
        <v>258</v>
      </c>
      <c r="B190" s="981" t="s">
        <v>251</v>
      </c>
      <c r="C190" s="981" t="s">
        <v>318</v>
      </c>
      <c r="D190" s="981" t="s">
        <v>43</v>
      </c>
      <c r="E190" s="981">
        <v>117</v>
      </c>
      <c r="F190" s="981">
        <v>10</v>
      </c>
      <c r="G190" s="981">
        <v>21</v>
      </c>
      <c r="H190" s="981">
        <v>86</v>
      </c>
    </row>
  </sheetData>
  <mergeCells count="1">
    <mergeCell ref="A2:B2"/>
  </mergeCells>
  <pageMargins left="0.7" right="0.7" top="0.75" bottom="0.75" header="0.3" footer="0.3"/>
  <pageSetup paperSize="9" fitToHeight="5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K10"/>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1" spans="1:11" ht="15.75" x14ac:dyDescent="0.25">
      <c r="A1" s="982" t="s">
        <v>920</v>
      </c>
    </row>
    <row r="2" spans="1:11" x14ac:dyDescent="0.25">
      <c r="A2" s="1047">
        <v>43700</v>
      </c>
      <c r="B2" s="1048"/>
    </row>
    <row r="4" spans="1:11" x14ac:dyDescent="0.25">
      <c r="A4" s="980" t="s">
        <v>274</v>
      </c>
      <c r="B4" s="980" t="s">
        <v>894</v>
      </c>
      <c r="C4" s="980" t="s">
        <v>916</v>
      </c>
      <c r="D4" s="980" t="s">
        <v>261</v>
      </c>
      <c r="E4" s="980" t="s">
        <v>26</v>
      </c>
      <c r="F4" s="980" t="s">
        <v>18</v>
      </c>
      <c r="G4" s="980" t="s">
        <v>19</v>
      </c>
      <c r="H4" s="980" t="s">
        <v>20</v>
      </c>
      <c r="I4" s="980" t="s">
        <v>21</v>
      </c>
      <c r="J4" s="980" t="s">
        <v>22</v>
      </c>
      <c r="K4" s="980" t="s">
        <v>83</v>
      </c>
    </row>
    <row r="5" spans="1:11" x14ac:dyDescent="0.25">
      <c r="A5" s="981" t="s">
        <v>207</v>
      </c>
      <c r="B5" s="981" t="s">
        <v>254</v>
      </c>
      <c r="C5" s="981" t="s">
        <v>263</v>
      </c>
      <c r="D5" s="981" t="s">
        <v>391</v>
      </c>
      <c r="E5" s="981">
        <v>223</v>
      </c>
      <c r="F5" s="985">
        <v>0</v>
      </c>
      <c r="G5" s="981">
        <v>5</v>
      </c>
      <c r="H5" s="981">
        <v>11</v>
      </c>
      <c r="I5" s="981">
        <v>52</v>
      </c>
      <c r="J5" s="981">
        <v>52</v>
      </c>
      <c r="K5" s="981">
        <v>103</v>
      </c>
    </row>
    <row r="6" spans="1:11" x14ac:dyDescent="0.25">
      <c r="A6" s="981" t="s">
        <v>206</v>
      </c>
      <c r="B6" s="981" t="s">
        <v>254</v>
      </c>
      <c r="C6" s="981" t="s">
        <v>263</v>
      </c>
      <c r="D6" s="981" t="s">
        <v>391</v>
      </c>
      <c r="E6" s="981">
        <v>230</v>
      </c>
      <c r="F6" s="985">
        <v>0</v>
      </c>
      <c r="G6" s="981">
        <v>5</v>
      </c>
      <c r="H6" s="981">
        <v>13</v>
      </c>
      <c r="I6" s="981">
        <v>50</v>
      </c>
      <c r="J6" s="981">
        <v>52</v>
      </c>
      <c r="K6" s="981">
        <v>110</v>
      </c>
    </row>
    <row r="7" spans="1:11" x14ac:dyDescent="0.25">
      <c r="A7" s="981" t="s">
        <v>205</v>
      </c>
      <c r="B7" s="981" t="s">
        <v>254</v>
      </c>
      <c r="C7" s="981" t="s">
        <v>263</v>
      </c>
      <c r="D7" s="981" t="s">
        <v>391</v>
      </c>
      <c r="E7" s="981">
        <v>203</v>
      </c>
      <c r="F7" s="985">
        <v>0</v>
      </c>
      <c r="G7" s="981">
        <v>6</v>
      </c>
      <c r="H7" s="981">
        <v>7</v>
      </c>
      <c r="I7" s="981">
        <v>51</v>
      </c>
      <c r="J7" s="981">
        <v>44</v>
      </c>
      <c r="K7" s="981">
        <v>95</v>
      </c>
    </row>
    <row r="8" spans="1:11" x14ac:dyDescent="0.25">
      <c r="A8" s="981" t="s">
        <v>278</v>
      </c>
      <c r="B8" s="981" t="s">
        <v>254</v>
      </c>
      <c r="C8" s="981" t="s">
        <v>263</v>
      </c>
      <c r="D8" s="981" t="s">
        <v>391</v>
      </c>
      <c r="E8" s="981">
        <v>165</v>
      </c>
      <c r="F8" s="985">
        <v>0</v>
      </c>
      <c r="G8" s="981">
        <v>5</v>
      </c>
      <c r="H8" s="981">
        <v>8</v>
      </c>
      <c r="I8" s="981">
        <v>41</v>
      </c>
      <c r="J8" s="981">
        <v>31</v>
      </c>
      <c r="K8" s="981">
        <v>80</v>
      </c>
    </row>
    <row r="9" spans="1:11" x14ac:dyDescent="0.25">
      <c r="A9" s="981" t="s">
        <v>259</v>
      </c>
      <c r="B9" s="981" t="s">
        <v>254</v>
      </c>
      <c r="C9" s="981" t="s">
        <v>263</v>
      </c>
      <c r="D9" s="981" t="s">
        <v>391</v>
      </c>
      <c r="E9" s="981">
        <v>189</v>
      </c>
      <c r="F9" s="985">
        <v>0</v>
      </c>
      <c r="G9" s="981">
        <v>5</v>
      </c>
      <c r="H9" s="981">
        <v>8</v>
      </c>
      <c r="I9" s="981">
        <v>43</v>
      </c>
      <c r="J9" s="981">
        <v>27</v>
      </c>
      <c r="K9" s="981">
        <v>106</v>
      </c>
    </row>
    <row r="10" spans="1:11" x14ac:dyDescent="0.25">
      <c r="A10" s="981" t="s">
        <v>258</v>
      </c>
      <c r="B10" s="981" t="s">
        <v>254</v>
      </c>
      <c r="C10" s="981" t="s">
        <v>263</v>
      </c>
      <c r="D10" s="981" t="s">
        <v>391</v>
      </c>
      <c r="E10" s="981">
        <v>207</v>
      </c>
      <c r="F10" s="985">
        <v>1</v>
      </c>
      <c r="G10" s="981">
        <v>4</v>
      </c>
      <c r="H10" s="981">
        <v>9</v>
      </c>
      <c r="I10" s="981">
        <v>42</v>
      </c>
      <c r="J10" s="981">
        <v>27</v>
      </c>
      <c r="K10" s="981">
        <v>124</v>
      </c>
    </row>
  </sheetData>
  <mergeCells count="1">
    <mergeCell ref="A2:B2"/>
  </mergeCells>
  <pageMargins left="0.7" right="0.7" top="0.75" bottom="0.75" header="0.3" footer="0.3"/>
  <pageSetup paperSize="9" fitToHeight="5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L28"/>
  <sheetViews>
    <sheetView zoomScale="85" zoomScaleNormal="85" workbookViewId="0">
      <pane ySplit="4" topLeftCell="A5" activePane="bottomLeft" state="frozen"/>
      <selection activeCell="A5" sqref="A5"/>
      <selection pane="bottomLeft" activeCell="B5" sqref="B5"/>
    </sheetView>
  </sheetViews>
  <sheetFormatPr defaultRowHeight="15" x14ac:dyDescent="0.25"/>
  <sheetData>
    <row r="1" spans="1:12" ht="15.75" x14ac:dyDescent="0.25">
      <c r="A1" s="982" t="s">
        <v>921</v>
      </c>
    </row>
    <row r="2" spans="1:12" x14ac:dyDescent="0.25">
      <c r="A2" s="1047">
        <v>43700</v>
      </c>
      <c r="B2" s="1048"/>
    </row>
    <row r="4" spans="1:12" x14ac:dyDescent="0.25">
      <c r="A4" s="980" t="s">
        <v>274</v>
      </c>
      <c r="B4" s="980" t="s">
        <v>894</v>
      </c>
      <c r="C4" s="980" t="s">
        <v>261</v>
      </c>
      <c r="D4" s="980" t="s">
        <v>916</v>
      </c>
      <c r="E4" s="980" t="s">
        <v>26</v>
      </c>
      <c r="F4" s="980" t="s">
        <v>213</v>
      </c>
      <c r="G4" s="980" t="s">
        <v>84</v>
      </c>
      <c r="H4" s="980" t="s">
        <v>90</v>
      </c>
      <c r="I4" s="980" t="s">
        <v>86</v>
      </c>
      <c r="J4" s="980" t="s">
        <v>322</v>
      </c>
      <c r="K4" s="980" t="s">
        <v>323</v>
      </c>
      <c r="L4" s="980" t="s">
        <v>101</v>
      </c>
    </row>
    <row r="5" spans="1:12" x14ac:dyDescent="0.25">
      <c r="A5" s="981" t="s">
        <v>207</v>
      </c>
      <c r="B5" s="981" t="s">
        <v>253</v>
      </c>
      <c r="C5" s="981" t="s">
        <v>412</v>
      </c>
      <c r="D5" s="981" t="s">
        <v>176</v>
      </c>
      <c r="E5" s="981">
        <v>416</v>
      </c>
      <c r="F5" s="981"/>
      <c r="G5" s="981">
        <v>4</v>
      </c>
      <c r="H5" s="981">
        <v>4</v>
      </c>
      <c r="I5" s="981">
        <v>8</v>
      </c>
      <c r="J5" s="981">
        <v>107</v>
      </c>
      <c r="K5" s="981">
        <v>149</v>
      </c>
      <c r="L5" s="981">
        <v>144</v>
      </c>
    </row>
    <row r="6" spans="1:12" x14ac:dyDescent="0.25">
      <c r="A6" s="981" t="s">
        <v>207</v>
      </c>
      <c r="B6" s="981" t="s">
        <v>253</v>
      </c>
      <c r="C6" s="981" t="s">
        <v>411</v>
      </c>
      <c r="D6" s="981" t="s">
        <v>177</v>
      </c>
      <c r="E6" s="981">
        <v>175</v>
      </c>
      <c r="F6" s="981"/>
      <c r="G6" s="981">
        <v>6</v>
      </c>
      <c r="H6" s="981">
        <v>2</v>
      </c>
      <c r="I6" s="981">
        <v>7</v>
      </c>
      <c r="J6" s="981">
        <v>46</v>
      </c>
      <c r="K6" s="981">
        <v>66</v>
      </c>
      <c r="L6" s="981">
        <v>48</v>
      </c>
    </row>
    <row r="7" spans="1:12" x14ac:dyDescent="0.25">
      <c r="A7" s="981" t="s">
        <v>207</v>
      </c>
      <c r="B7" s="981" t="s">
        <v>253</v>
      </c>
      <c r="C7" s="981" t="s">
        <v>413</v>
      </c>
      <c r="D7" s="981" t="s">
        <v>175</v>
      </c>
      <c r="E7" s="981">
        <v>133</v>
      </c>
      <c r="F7" s="981"/>
      <c r="G7" s="981">
        <v>4</v>
      </c>
      <c r="H7" s="981">
        <v>5</v>
      </c>
      <c r="I7" s="981">
        <v>6</v>
      </c>
      <c r="J7" s="981">
        <v>59</v>
      </c>
      <c r="K7" s="981">
        <v>19</v>
      </c>
      <c r="L7" s="981">
        <v>40</v>
      </c>
    </row>
    <row r="8" spans="1:12" x14ac:dyDescent="0.25">
      <c r="A8" s="981" t="s">
        <v>207</v>
      </c>
      <c r="B8" s="981" t="s">
        <v>254</v>
      </c>
      <c r="C8" s="981" t="s">
        <v>391</v>
      </c>
      <c r="D8" s="981" t="s">
        <v>263</v>
      </c>
      <c r="E8" s="981">
        <v>237</v>
      </c>
      <c r="F8" s="981"/>
      <c r="G8" s="981">
        <v>56</v>
      </c>
      <c r="H8" s="981">
        <v>9</v>
      </c>
      <c r="I8" s="981">
        <v>24</v>
      </c>
      <c r="J8" s="981">
        <v>102</v>
      </c>
      <c r="K8" s="981">
        <v>0</v>
      </c>
      <c r="L8" s="981">
        <v>46</v>
      </c>
    </row>
    <row r="9" spans="1:12" x14ac:dyDescent="0.25">
      <c r="A9" s="981" t="s">
        <v>206</v>
      </c>
      <c r="B9" s="981" t="s">
        <v>253</v>
      </c>
      <c r="C9" s="981" t="s">
        <v>412</v>
      </c>
      <c r="D9" s="981" t="s">
        <v>176</v>
      </c>
      <c r="E9" s="981">
        <v>340</v>
      </c>
      <c r="F9" s="981"/>
      <c r="G9" s="981">
        <v>3</v>
      </c>
      <c r="H9" s="981">
        <v>9</v>
      </c>
      <c r="I9" s="981">
        <v>14</v>
      </c>
      <c r="J9" s="981">
        <v>113</v>
      </c>
      <c r="K9" s="981">
        <v>109</v>
      </c>
      <c r="L9" s="981">
        <v>92</v>
      </c>
    </row>
    <row r="10" spans="1:12" x14ac:dyDescent="0.25">
      <c r="A10" s="981" t="s">
        <v>206</v>
      </c>
      <c r="B10" s="981" t="s">
        <v>253</v>
      </c>
      <c r="C10" s="981" t="s">
        <v>411</v>
      </c>
      <c r="D10" s="981" t="s">
        <v>177</v>
      </c>
      <c r="E10" s="981">
        <v>163</v>
      </c>
      <c r="F10" s="981"/>
      <c r="G10" s="981">
        <v>3</v>
      </c>
      <c r="H10" s="981">
        <v>7</v>
      </c>
      <c r="I10" s="981">
        <v>12</v>
      </c>
      <c r="J10" s="981">
        <v>48</v>
      </c>
      <c r="K10" s="981">
        <v>65</v>
      </c>
      <c r="L10" s="981">
        <v>28</v>
      </c>
    </row>
    <row r="11" spans="1:12" x14ac:dyDescent="0.25">
      <c r="A11" s="981" t="s">
        <v>206</v>
      </c>
      <c r="B11" s="981" t="s">
        <v>253</v>
      </c>
      <c r="C11" s="981" t="s">
        <v>413</v>
      </c>
      <c r="D11" s="981" t="s">
        <v>175</v>
      </c>
      <c r="E11" s="981">
        <v>126</v>
      </c>
      <c r="F11" s="981"/>
      <c r="G11" s="981">
        <v>3</v>
      </c>
      <c r="H11" s="981">
        <v>7</v>
      </c>
      <c r="I11" s="981">
        <v>6</v>
      </c>
      <c r="J11" s="981">
        <v>64</v>
      </c>
      <c r="K11" s="981">
        <v>19</v>
      </c>
      <c r="L11" s="981">
        <v>27</v>
      </c>
    </row>
    <row r="12" spans="1:12" x14ac:dyDescent="0.25">
      <c r="A12" s="981" t="s">
        <v>206</v>
      </c>
      <c r="B12" s="981" t="s">
        <v>254</v>
      </c>
      <c r="C12" s="981" t="s">
        <v>391</v>
      </c>
      <c r="D12" s="981" t="s">
        <v>263</v>
      </c>
      <c r="E12" s="981">
        <v>238</v>
      </c>
      <c r="F12" s="981">
        <v>2</v>
      </c>
      <c r="G12" s="981">
        <v>35</v>
      </c>
      <c r="H12" s="981">
        <v>13</v>
      </c>
      <c r="I12" s="981">
        <v>27</v>
      </c>
      <c r="J12" s="981">
        <v>112</v>
      </c>
      <c r="K12" s="981">
        <v>0</v>
      </c>
      <c r="L12" s="981">
        <v>49</v>
      </c>
    </row>
    <row r="13" spans="1:12" x14ac:dyDescent="0.25">
      <c r="A13" s="981" t="s">
        <v>205</v>
      </c>
      <c r="B13" s="981" t="s">
        <v>253</v>
      </c>
      <c r="C13" s="981" t="s">
        <v>412</v>
      </c>
      <c r="D13" s="981" t="s">
        <v>176</v>
      </c>
      <c r="E13" s="981">
        <v>286</v>
      </c>
      <c r="F13" s="981"/>
      <c r="G13" s="981">
        <v>2</v>
      </c>
      <c r="H13" s="981">
        <v>10</v>
      </c>
      <c r="I13" s="981">
        <v>15</v>
      </c>
      <c r="J13" s="981">
        <v>110</v>
      </c>
      <c r="K13" s="981">
        <v>84</v>
      </c>
      <c r="L13" s="981">
        <v>65</v>
      </c>
    </row>
    <row r="14" spans="1:12" x14ac:dyDescent="0.25">
      <c r="A14" s="981" t="s">
        <v>205</v>
      </c>
      <c r="B14" s="981" t="s">
        <v>253</v>
      </c>
      <c r="C14" s="981" t="s">
        <v>411</v>
      </c>
      <c r="D14" s="981" t="s">
        <v>177</v>
      </c>
      <c r="E14" s="981">
        <v>124</v>
      </c>
      <c r="F14" s="981"/>
      <c r="G14" s="981">
        <v>3</v>
      </c>
      <c r="H14" s="981">
        <v>5</v>
      </c>
      <c r="I14" s="981">
        <v>13</v>
      </c>
      <c r="J14" s="981">
        <v>35</v>
      </c>
      <c r="K14" s="981">
        <v>56</v>
      </c>
      <c r="L14" s="981">
        <v>12</v>
      </c>
    </row>
    <row r="15" spans="1:12" x14ac:dyDescent="0.25">
      <c r="A15" s="981" t="s">
        <v>205</v>
      </c>
      <c r="B15" s="981" t="s">
        <v>253</v>
      </c>
      <c r="C15" s="981" t="s">
        <v>413</v>
      </c>
      <c r="D15" s="981" t="s">
        <v>175</v>
      </c>
      <c r="E15" s="981">
        <v>121</v>
      </c>
      <c r="F15" s="981"/>
      <c r="G15" s="981">
        <v>3</v>
      </c>
      <c r="H15" s="981">
        <v>7</v>
      </c>
      <c r="I15" s="981">
        <v>11</v>
      </c>
      <c r="J15" s="981">
        <v>61</v>
      </c>
      <c r="K15" s="981">
        <v>20</v>
      </c>
      <c r="L15" s="981">
        <v>19</v>
      </c>
    </row>
    <row r="16" spans="1:12" x14ac:dyDescent="0.25">
      <c r="A16" s="981" t="s">
        <v>205</v>
      </c>
      <c r="B16" s="981" t="s">
        <v>254</v>
      </c>
      <c r="C16" s="981" t="s">
        <v>391</v>
      </c>
      <c r="D16" s="981" t="s">
        <v>263</v>
      </c>
      <c r="E16" s="981">
        <v>297</v>
      </c>
      <c r="F16" s="981">
        <v>3</v>
      </c>
      <c r="G16" s="981">
        <v>32</v>
      </c>
      <c r="H16" s="981">
        <v>12</v>
      </c>
      <c r="I16" s="981">
        <v>35</v>
      </c>
      <c r="J16" s="981">
        <v>110</v>
      </c>
      <c r="K16" s="981">
        <v>7</v>
      </c>
      <c r="L16" s="981">
        <v>98</v>
      </c>
    </row>
    <row r="17" spans="1:12" x14ac:dyDescent="0.25">
      <c r="A17" s="981" t="s">
        <v>278</v>
      </c>
      <c r="B17" s="981" t="s">
        <v>253</v>
      </c>
      <c r="C17" s="981" t="s">
        <v>412</v>
      </c>
      <c r="D17" s="981" t="s">
        <v>176</v>
      </c>
      <c r="E17" s="981">
        <v>294</v>
      </c>
      <c r="F17" s="981"/>
      <c r="G17" s="981">
        <v>2</v>
      </c>
      <c r="H17" s="981">
        <v>10</v>
      </c>
      <c r="I17" s="981">
        <v>15</v>
      </c>
      <c r="J17" s="981">
        <v>120</v>
      </c>
      <c r="K17" s="981">
        <v>89</v>
      </c>
      <c r="L17" s="981">
        <v>58</v>
      </c>
    </row>
    <row r="18" spans="1:12" x14ac:dyDescent="0.25">
      <c r="A18" s="981" t="s">
        <v>278</v>
      </c>
      <c r="B18" s="981" t="s">
        <v>253</v>
      </c>
      <c r="C18" s="981" t="s">
        <v>411</v>
      </c>
      <c r="D18" s="981" t="s">
        <v>177</v>
      </c>
      <c r="E18" s="981">
        <v>142</v>
      </c>
      <c r="F18" s="981"/>
      <c r="G18" s="981">
        <v>3</v>
      </c>
      <c r="H18" s="981">
        <v>5</v>
      </c>
      <c r="I18" s="981">
        <v>13</v>
      </c>
      <c r="J18" s="981">
        <v>48</v>
      </c>
      <c r="K18" s="981">
        <v>54</v>
      </c>
      <c r="L18" s="981">
        <v>19</v>
      </c>
    </row>
    <row r="19" spans="1:12" x14ac:dyDescent="0.25">
      <c r="A19" s="981" t="s">
        <v>278</v>
      </c>
      <c r="B19" s="981" t="s">
        <v>253</v>
      </c>
      <c r="C19" s="981" t="s">
        <v>413</v>
      </c>
      <c r="D19" s="981" t="s">
        <v>175</v>
      </c>
      <c r="E19" s="981">
        <v>135</v>
      </c>
      <c r="F19" s="981"/>
      <c r="G19" s="981">
        <v>3</v>
      </c>
      <c r="H19" s="981">
        <v>7</v>
      </c>
      <c r="I19" s="981">
        <v>12</v>
      </c>
      <c r="J19" s="981">
        <v>75</v>
      </c>
      <c r="K19" s="981">
        <v>14</v>
      </c>
      <c r="L19" s="981">
        <v>24</v>
      </c>
    </row>
    <row r="20" spans="1:12" x14ac:dyDescent="0.25">
      <c r="A20" s="981" t="s">
        <v>278</v>
      </c>
      <c r="B20" s="981" t="s">
        <v>254</v>
      </c>
      <c r="C20" s="981" t="s">
        <v>391</v>
      </c>
      <c r="D20" s="981" t="s">
        <v>263</v>
      </c>
      <c r="E20" s="981">
        <v>267</v>
      </c>
      <c r="F20" s="981">
        <v>3</v>
      </c>
      <c r="G20" s="981">
        <v>34</v>
      </c>
      <c r="H20" s="981">
        <v>12</v>
      </c>
      <c r="I20" s="981">
        <v>38</v>
      </c>
      <c r="J20" s="981">
        <v>103</v>
      </c>
      <c r="K20" s="981">
        <v>8</v>
      </c>
      <c r="L20" s="981">
        <v>69</v>
      </c>
    </row>
    <row r="21" spans="1:12" x14ac:dyDescent="0.25">
      <c r="A21" s="981" t="s">
        <v>259</v>
      </c>
      <c r="B21" s="981" t="s">
        <v>253</v>
      </c>
      <c r="C21" s="981" t="s">
        <v>412</v>
      </c>
      <c r="D21" s="981" t="s">
        <v>176</v>
      </c>
      <c r="E21" s="981">
        <v>300</v>
      </c>
      <c r="F21" s="981"/>
      <c r="G21" s="981">
        <v>2</v>
      </c>
      <c r="H21" s="981">
        <v>10</v>
      </c>
      <c r="I21" s="981">
        <v>16</v>
      </c>
      <c r="J21" s="981">
        <v>133</v>
      </c>
      <c r="K21" s="981">
        <v>82</v>
      </c>
      <c r="L21" s="981">
        <v>57</v>
      </c>
    </row>
    <row r="22" spans="1:12" x14ac:dyDescent="0.25">
      <c r="A22" s="981" t="s">
        <v>259</v>
      </c>
      <c r="B22" s="981" t="s">
        <v>253</v>
      </c>
      <c r="C22" s="981" t="s">
        <v>411</v>
      </c>
      <c r="D22" s="981" t="s">
        <v>177</v>
      </c>
      <c r="E22" s="981">
        <v>128</v>
      </c>
      <c r="F22" s="981"/>
      <c r="G22" s="981">
        <v>3</v>
      </c>
      <c r="H22" s="981">
        <v>3</v>
      </c>
      <c r="I22" s="981">
        <v>11</v>
      </c>
      <c r="J22" s="981">
        <v>45</v>
      </c>
      <c r="K22" s="981">
        <v>49</v>
      </c>
      <c r="L22" s="981">
        <v>17</v>
      </c>
    </row>
    <row r="23" spans="1:12" x14ac:dyDescent="0.25">
      <c r="A23" s="981" t="s">
        <v>259</v>
      </c>
      <c r="B23" s="981" t="s">
        <v>253</v>
      </c>
      <c r="C23" s="981" t="s">
        <v>413</v>
      </c>
      <c r="D23" s="981" t="s">
        <v>175</v>
      </c>
      <c r="E23" s="981">
        <v>141</v>
      </c>
      <c r="F23" s="981"/>
      <c r="G23" s="981">
        <v>3</v>
      </c>
      <c r="H23" s="981">
        <v>8</v>
      </c>
      <c r="I23" s="981">
        <v>11</v>
      </c>
      <c r="J23" s="981">
        <v>81</v>
      </c>
      <c r="K23" s="981">
        <v>15</v>
      </c>
      <c r="L23" s="981">
        <v>23</v>
      </c>
    </row>
    <row r="24" spans="1:12" x14ac:dyDescent="0.25">
      <c r="A24" s="981" t="s">
        <v>259</v>
      </c>
      <c r="B24" s="981" t="s">
        <v>254</v>
      </c>
      <c r="C24" s="981" t="s">
        <v>391</v>
      </c>
      <c r="D24" s="981" t="s">
        <v>263</v>
      </c>
      <c r="E24" s="981">
        <v>277</v>
      </c>
      <c r="F24" s="981">
        <v>2</v>
      </c>
      <c r="G24" s="981">
        <v>42</v>
      </c>
      <c r="H24" s="981">
        <v>11</v>
      </c>
      <c r="I24" s="981">
        <v>41</v>
      </c>
      <c r="J24" s="981">
        <v>107</v>
      </c>
      <c r="K24" s="981">
        <v>7</v>
      </c>
      <c r="L24" s="981">
        <v>67</v>
      </c>
    </row>
    <row r="25" spans="1:12" x14ac:dyDescent="0.25">
      <c r="A25" s="981" t="s">
        <v>258</v>
      </c>
      <c r="B25" s="981" t="s">
        <v>253</v>
      </c>
      <c r="C25" s="981" t="s">
        <v>412</v>
      </c>
      <c r="D25" s="981" t="s">
        <v>176</v>
      </c>
      <c r="E25" s="981">
        <v>246</v>
      </c>
      <c r="F25" s="981"/>
      <c r="G25" s="981">
        <v>2</v>
      </c>
      <c r="H25" s="981">
        <v>9</v>
      </c>
      <c r="I25" s="981">
        <v>15</v>
      </c>
      <c r="J25" s="981">
        <v>134</v>
      </c>
      <c r="K25" s="981">
        <v>28</v>
      </c>
      <c r="L25" s="981">
        <v>58</v>
      </c>
    </row>
    <row r="26" spans="1:12" x14ac:dyDescent="0.25">
      <c r="A26" s="981" t="s">
        <v>258</v>
      </c>
      <c r="B26" s="981" t="s">
        <v>253</v>
      </c>
      <c r="C26" s="981" t="s">
        <v>411</v>
      </c>
      <c r="D26" s="981" t="s">
        <v>177</v>
      </c>
      <c r="E26" s="981">
        <v>102</v>
      </c>
      <c r="F26" s="981"/>
      <c r="G26" s="981">
        <v>2</v>
      </c>
      <c r="H26" s="981">
        <v>4</v>
      </c>
      <c r="I26" s="981">
        <v>11</v>
      </c>
      <c r="J26" s="981">
        <v>49</v>
      </c>
      <c r="K26" s="981">
        <v>18</v>
      </c>
      <c r="L26" s="981">
        <v>18</v>
      </c>
    </row>
    <row r="27" spans="1:12" x14ac:dyDescent="0.25">
      <c r="A27" s="981" t="s">
        <v>258</v>
      </c>
      <c r="B27" s="981" t="s">
        <v>253</v>
      </c>
      <c r="C27" s="981" t="s">
        <v>413</v>
      </c>
      <c r="D27" s="981" t="s">
        <v>175</v>
      </c>
      <c r="E27" s="981">
        <v>141</v>
      </c>
      <c r="F27" s="981"/>
      <c r="G27" s="981">
        <v>3</v>
      </c>
      <c r="H27" s="981">
        <v>9</v>
      </c>
      <c r="I27" s="981">
        <v>11</v>
      </c>
      <c r="J27" s="981">
        <v>77</v>
      </c>
      <c r="K27" s="981">
        <v>17</v>
      </c>
      <c r="L27" s="981">
        <v>24</v>
      </c>
    </row>
    <row r="28" spans="1:12" x14ac:dyDescent="0.25">
      <c r="A28" s="981" t="s">
        <v>258</v>
      </c>
      <c r="B28" s="981" t="s">
        <v>254</v>
      </c>
      <c r="C28" s="981" t="s">
        <v>391</v>
      </c>
      <c r="D28" s="981" t="s">
        <v>263</v>
      </c>
      <c r="E28" s="981">
        <v>303</v>
      </c>
      <c r="F28" s="981">
        <v>3</v>
      </c>
      <c r="G28" s="981">
        <v>42</v>
      </c>
      <c r="H28" s="981">
        <v>12</v>
      </c>
      <c r="I28" s="981">
        <v>47</v>
      </c>
      <c r="J28" s="981">
        <v>128</v>
      </c>
      <c r="K28" s="981">
        <v>1</v>
      </c>
      <c r="L28" s="981">
        <v>70</v>
      </c>
    </row>
  </sheetData>
  <mergeCells count="1">
    <mergeCell ref="A2:B2"/>
  </mergeCells>
  <pageMargins left="0.7" right="0.7" top="0.75" bottom="0.75" header="0.3" footer="0.3"/>
  <pageSetup paperSize="9" fitToHeight="5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H144"/>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1" spans="1:8" ht="15.75" x14ac:dyDescent="0.25">
      <c r="A1" s="982" t="s">
        <v>922</v>
      </c>
    </row>
    <row r="2" spans="1:8" x14ac:dyDescent="0.25">
      <c r="A2" s="1047">
        <v>43700</v>
      </c>
      <c r="B2" s="1048"/>
    </row>
    <row r="4" spans="1:8" x14ac:dyDescent="0.25">
      <c r="A4" s="980" t="s">
        <v>274</v>
      </c>
      <c r="B4" s="980" t="s">
        <v>894</v>
      </c>
      <c r="C4" s="980" t="s">
        <v>261</v>
      </c>
      <c r="D4" s="980" t="s">
        <v>916</v>
      </c>
      <c r="E4" s="980" t="s">
        <v>26</v>
      </c>
      <c r="F4" s="980" t="s">
        <v>21</v>
      </c>
      <c r="G4" s="980" t="s">
        <v>22</v>
      </c>
      <c r="H4" s="980" t="s">
        <v>23</v>
      </c>
    </row>
    <row r="5" spans="1:8" x14ac:dyDescent="0.25">
      <c r="A5" s="981" t="s">
        <v>207</v>
      </c>
      <c r="B5" s="981" t="s">
        <v>251</v>
      </c>
      <c r="C5" s="981" t="s">
        <v>287</v>
      </c>
      <c r="D5" s="981" t="s">
        <v>35</v>
      </c>
      <c r="E5" s="981">
        <v>0</v>
      </c>
      <c r="F5" s="981">
        <v>0</v>
      </c>
      <c r="G5" s="981">
        <v>0</v>
      </c>
      <c r="H5" s="981">
        <v>0</v>
      </c>
    </row>
    <row r="6" spans="1:8" x14ac:dyDescent="0.25">
      <c r="A6" s="981" t="s">
        <v>207</v>
      </c>
      <c r="B6" s="981" t="s">
        <v>251</v>
      </c>
      <c r="C6" s="981" t="s">
        <v>288</v>
      </c>
      <c r="D6" s="981" t="s">
        <v>36</v>
      </c>
      <c r="E6" s="981">
        <v>4</v>
      </c>
      <c r="F6" s="981">
        <v>0</v>
      </c>
      <c r="G6" s="981">
        <v>1</v>
      </c>
      <c r="H6" s="981">
        <v>3</v>
      </c>
    </row>
    <row r="7" spans="1:8" x14ac:dyDescent="0.25">
      <c r="A7" s="981" t="s">
        <v>207</v>
      </c>
      <c r="B7" s="981" t="s">
        <v>251</v>
      </c>
      <c r="C7" s="981" t="s">
        <v>289</v>
      </c>
      <c r="D7" s="981" t="s">
        <v>38</v>
      </c>
      <c r="E7" s="981">
        <v>0</v>
      </c>
      <c r="F7" s="981">
        <v>0</v>
      </c>
      <c r="G7" s="981">
        <v>0</v>
      </c>
      <c r="H7" s="981">
        <v>0</v>
      </c>
    </row>
    <row r="8" spans="1:8" x14ac:dyDescent="0.25">
      <c r="A8" s="981" t="s">
        <v>207</v>
      </c>
      <c r="B8" s="981" t="s">
        <v>251</v>
      </c>
      <c r="C8" s="981" t="s">
        <v>290</v>
      </c>
      <c r="D8" s="981" t="s">
        <v>40</v>
      </c>
      <c r="E8" s="981">
        <v>0</v>
      </c>
      <c r="F8" s="981">
        <v>0</v>
      </c>
      <c r="G8" s="981">
        <v>0</v>
      </c>
      <c r="H8" s="981">
        <v>0</v>
      </c>
    </row>
    <row r="9" spans="1:8" x14ac:dyDescent="0.25">
      <c r="A9" s="981" t="s">
        <v>207</v>
      </c>
      <c r="B9" s="981" t="s">
        <v>251</v>
      </c>
      <c r="C9" s="981" t="s">
        <v>291</v>
      </c>
      <c r="D9" s="981" t="s">
        <v>41</v>
      </c>
      <c r="E9" s="981">
        <v>0</v>
      </c>
      <c r="F9" s="981">
        <v>0</v>
      </c>
      <c r="G9" s="981">
        <v>0</v>
      </c>
      <c r="H9" s="981">
        <v>0</v>
      </c>
    </row>
    <row r="10" spans="1:8" x14ac:dyDescent="0.25">
      <c r="A10" s="981" t="s">
        <v>207</v>
      </c>
      <c r="B10" s="981" t="s">
        <v>251</v>
      </c>
      <c r="C10" s="981" t="s">
        <v>292</v>
      </c>
      <c r="D10" s="981" t="s">
        <v>48</v>
      </c>
      <c r="E10" s="981">
        <v>0</v>
      </c>
      <c r="F10" s="981">
        <v>0</v>
      </c>
      <c r="G10" s="981">
        <v>0</v>
      </c>
      <c r="H10" s="981">
        <v>0</v>
      </c>
    </row>
    <row r="11" spans="1:8" x14ac:dyDescent="0.25">
      <c r="A11" s="981" t="s">
        <v>207</v>
      </c>
      <c r="B11" s="981" t="s">
        <v>251</v>
      </c>
      <c r="C11" s="981" t="s">
        <v>293</v>
      </c>
      <c r="D11" s="981" t="s">
        <v>42</v>
      </c>
      <c r="E11" s="981">
        <v>0</v>
      </c>
      <c r="F11" s="981">
        <v>0</v>
      </c>
      <c r="G11" s="981">
        <v>0</v>
      </c>
      <c r="H11" s="981">
        <v>0</v>
      </c>
    </row>
    <row r="12" spans="1:8" x14ac:dyDescent="0.25">
      <c r="A12" s="981" t="s">
        <v>207</v>
      </c>
      <c r="B12" s="981" t="s">
        <v>251</v>
      </c>
      <c r="C12" s="981" t="s">
        <v>294</v>
      </c>
      <c r="D12" s="981" t="s">
        <v>44</v>
      </c>
      <c r="E12" s="981">
        <v>72</v>
      </c>
      <c r="F12" s="981">
        <v>8</v>
      </c>
      <c r="G12" s="981">
        <v>13</v>
      </c>
      <c r="H12" s="981">
        <v>51</v>
      </c>
    </row>
    <row r="13" spans="1:8" x14ac:dyDescent="0.25">
      <c r="A13" s="981" t="s">
        <v>207</v>
      </c>
      <c r="B13" s="981" t="s">
        <v>251</v>
      </c>
      <c r="C13" s="981" t="s">
        <v>295</v>
      </c>
      <c r="D13" s="981" t="s">
        <v>45</v>
      </c>
      <c r="E13" s="981">
        <v>0</v>
      </c>
      <c r="F13" s="981">
        <v>0</v>
      </c>
      <c r="G13" s="981">
        <v>0</v>
      </c>
      <c r="H13" s="981">
        <v>0</v>
      </c>
    </row>
    <row r="14" spans="1:8" x14ac:dyDescent="0.25">
      <c r="A14" s="981" t="s">
        <v>207</v>
      </c>
      <c r="B14" s="981" t="s">
        <v>251</v>
      </c>
      <c r="C14" s="981" t="s">
        <v>296</v>
      </c>
      <c r="D14" s="981" t="s">
        <v>46</v>
      </c>
      <c r="E14" s="981">
        <v>0</v>
      </c>
      <c r="F14" s="981">
        <v>0</v>
      </c>
      <c r="G14" s="981">
        <v>0</v>
      </c>
      <c r="H14" s="981">
        <v>0</v>
      </c>
    </row>
    <row r="15" spans="1:8" x14ac:dyDescent="0.25">
      <c r="A15" s="981" t="s">
        <v>207</v>
      </c>
      <c r="B15" s="981" t="s">
        <v>251</v>
      </c>
      <c r="C15" s="981" t="s">
        <v>297</v>
      </c>
      <c r="D15" s="981" t="s">
        <v>47</v>
      </c>
      <c r="E15" s="981">
        <v>32</v>
      </c>
      <c r="F15" s="981">
        <v>1</v>
      </c>
      <c r="G15" s="981">
        <v>2</v>
      </c>
      <c r="H15" s="981">
        <v>29</v>
      </c>
    </row>
    <row r="16" spans="1:8" x14ac:dyDescent="0.25">
      <c r="A16" s="981" t="s">
        <v>207</v>
      </c>
      <c r="B16" s="981" t="s">
        <v>251</v>
      </c>
      <c r="C16" s="981" t="s">
        <v>298</v>
      </c>
      <c r="D16" s="981" t="s">
        <v>49</v>
      </c>
      <c r="E16" s="981">
        <v>21</v>
      </c>
      <c r="F16" s="981">
        <v>0</v>
      </c>
      <c r="G16" s="981">
        <v>6</v>
      </c>
      <c r="H16" s="981">
        <v>15</v>
      </c>
    </row>
    <row r="17" spans="1:8" x14ac:dyDescent="0.25">
      <c r="A17" s="981" t="s">
        <v>207</v>
      </c>
      <c r="B17" s="981" t="s">
        <v>251</v>
      </c>
      <c r="C17" s="981" t="s">
        <v>299</v>
      </c>
      <c r="D17" s="981" t="s">
        <v>51</v>
      </c>
      <c r="E17" s="981">
        <v>0</v>
      </c>
      <c r="F17" s="981">
        <v>0</v>
      </c>
      <c r="G17" s="981">
        <v>0</v>
      </c>
      <c r="H17" s="981">
        <v>0</v>
      </c>
    </row>
    <row r="18" spans="1:8" x14ac:dyDescent="0.25">
      <c r="A18" s="981" t="s">
        <v>207</v>
      </c>
      <c r="B18" s="981" t="s">
        <v>251</v>
      </c>
      <c r="C18" s="981" t="s">
        <v>300</v>
      </c>
      <c r="D18" s="981" t="s">
        <v>52</v>
      </c>
      <c r="E18" s="981">
        <v>25</v>
      </c>
      <c r="F18" s="981">
        <v>0</v>
      </c>
      <c r="G18" s="981">
        <v>3</v>
      </c>
      <c r="H18" s="981">
        <v>22</v>
      </c>
    </row>
    <row r="19" spans="1:8" x14ac:dyDescent="0.25">
      <c r="A19" s="981" t="s">
        <v>207</v>
      </c>
      <c r="B19" s="981" t="s">
        <v>251</v>
      </c>
      <c r="C19" s="981" t="s">
        <v>301</v>
      </c>
      <c r="D19" s="981" t="s">
        <v>54</v>
      </c>
      <c r="E19" s="981">
        <v>0</v>
      </c>
      <c r="F19" s="981">
        <v>0</v>
      </c>
      <c r="G19" s="981">
        <v>0</v>
      </c>
      <c r="H19" s="981">
        <v>0</v>
      </c>
    </row>
    <row r="20" spans="1:8" x14ac:dyDescent="0.25">
      <c r="A20" s="981" t="s">
        <v>207</v>
      </c>
      <c r="B20" s="981" t="s">
        <v>251</v>
      </c>
      <c r="C20" s="981" t="s">
        <v>302</v>
      </c>
      <c r="D20" s="981" t="s">
        <v>55</v>
      </c>
      <c r="E20" s="981">
        <v>0</v>
      </c>
      <c r="F20" s="981">
        <v>0</v>
      </c>
      <c r="G20" s="981">
        <v>0</v>
      </c>
      <c r="H20" s="981">
        <v>0</v>
      </c>
    </row>
    <row r="21" spans="1:8" x14ac:dyDescent="0.25">
      <c r="A21" s="981" t="s">
        <v>207</v>
      </c>
      <c r="B21" s="981" t="s">
        <v>251</v>
      </c>
      <c r="C21" s="981" t="s">
        <v>303</v>
      </c>
      <c r="D21" s="981" t="s">
        <v>56</v>
      </c>
      <c r="E21" s="981">
        <v>0</v>
      </c>
      <c r="F21" s="981">
        <v>0</v>
      </c>
      <c r="G21" s="981">
        <v>0</v>
      </c>
      <c r="H21" s="981">
        <v>0</v>
      </c>
    </row>
    <row r="22" spans="1:8" x14ac:dyDescent="0.25">
      <c r="A22" s="981" t="s">
        <v>207</v>
      </c>
      <c r="B22" s="981" t="s">
        <v>251</v>
      </c>
      <c r="C22" s="981" t="s">
        <v>304</v>
      </c>
      <c r="D22" s="981" t="s">
        <v>57</v>
      </c>
      <c r="E22" s="981">
        <v>2</v>
      </c>
      <c r="F22" s="981">
        <v>0</v>
      </c>
      <c r="G22" s="981">
        <v>1</v>
      </c>
      <c r="H22" s="981">
        <v>1</v>
      </c>
    </row>
    <row r="23" spans="1:8" x14ac:dyDescent="0.25">
      <c r="A23" s="981" t="s">
        <v>207</v>
      </c>
      <c r="B23" s="981" t="s">
        <v>251</v>
      </c>
      <c r="C23" s="981" t="s">
        <v>305</v>
      </c>
      <c r="D23" s="981" t="s">
        <v>58</v>
      </c>
      <c r="E23" s="981">
        <v>0</v>
      </c>
      <c r="F23" s="981">
        <v>0</v>
      </c>
      <c r="G23" s="981">
        <v>0</v>
      </c>
      <c r="H23" s="981">
        <v>0</v>
      </c>
    </row>
    <row r="24" spans="1:8" x14ac:dyDescent="0.25">
      <c r="A24" s="981" t="s">
        <v>207</v>
      </c>
      <c r="B24" s="981" t="s">
        <v>251</v>
      </c>
      <c r="C24" s="981" t="s">
        <v>306</v>
      </c>
      <c r="D24" s="981" t="s">
        <v>31</v>
      </c>
      <c r="E24" s="981">
        <v>0</v>
      </c>
      <c r="F24" s="981">
        <v>0</v>
      </c>
      <c r="G24" s="981">
        <v>0</v>
      </c>
      <c r="H24" s="981">
        <v>0</v>
      </c>
    </row>
    <row r="25" spans="1:8" x14ac:dyDescent="0.25">
      <c r="A25" s="981" t="s">
        <v>207</v>
      </c>
      <c r="B25" s="981" t="s">
        <v>251</v>
      </c>
      <c r="C25" s="981" t="s">
        <v>307</v>
      </c>
      <c r="D25" s="981" t="s">
        <v>32</v>
      </c>
      <c r="E25" s="981">
        <v>0</v>
      </c>
      <c r="F25" s="981">
        <v>0</v>
      </c>
      <c r="G25" s="981">
        <v>0</v>
      </c>
      <c r="H25" s="981">
        <v>0</v>
      </c>
    </row>
    <row r="26" spans="1:8" x14ac:dyDescent="0.25">
      <c r="A26" s="981" t="s">
        <v>207</v>
      </c>
      <c r="B26" s="981" t="s">
        <v>251</v>
      </c>
      <c r="C26" s="981" t="s">
        <v>308</v>
      </c>
      <c r="D26" s="981" t="s">
        <v>34</v>
      </c>
      <c r="E26" s="981">
        <v>203</v>
      </c>
      <c r="F26" s="981">
        <v>0</v>
      </c>
      <c r="G26" s="981">
        <v>47</v>
      </c>
      <c r="H26" s="981">
        <v>156</v>
      </c>
    </row>
    <row r="27" spans="1:8" x14ac:dyDescent="0.25">
      <c r="A27" s="981" t="s">
        <v>207</v>
      </c>
      <c r="B27" s="981" t="s">
        <v>251</v>
      </c>
      <c r="C27" s="981" t="s">
        <v>309</v>
      </c>
      <c r="D27" s="981" t="s">
        <v>262</v>
      </c>
      <c r="E27" s="981">
        <v>0</v>
      </c>
      <c r="F27" s="981">
        <v>0</v>
      </c>
      <c r="G27" s="981">
        <v>0</v>
      </c>
      <c r="H27" s="981">
        <v>0</v>
      </c>
    </row>
    <row r="28" spans="1:8" x14ac:dyDescent="0.25">
      <c r="A28" s="981" t="s">
        <v>207</v>
      </c>
      <c r="B28" s="981" t="s">
        <v>251</v>
      </c>
      <c r="C28" s="981" t="s">
        <v>310</v>
      </c>
      <c r="D28" s="981" t="s">
        <v>53</v>
      </c>
      <c r="E28" s="981">
        <v>0</v>
      </c>
      <c r="F28" s="981">
        <v>0</v>
      </c>
      <c r="G28" s="981">
        <v>0</v>
      </c>
      <c r="H28" s="981">
        <v>0</v>
      </c>
    </row>
    <row r="29" spans="1:8" x14ac:dyDescent="0.25">
      <c r="A29" s="981" t="s">
        <v>207</v>
      </c>
      <c r="B29" s="981" t="s">
        <v>251</v>
      </c>
      <c r="C29" s="981" t="s">
        <v>311</v>
      </c>
      <c r="D29" s="981" t="s">
        <v>59</v>
      </c>
      <c r="E29" s="981">
        <v>0</v>
      </c>
      <c r="F29" s="981">
        <v>0</v>
      </c>
      <c r="G29" s="981">
        <v>0</v>
      </c>
      <c r="H29" s="981">
        <v>0</v>
      </c>
    </row>
    <row r="30" spans="1:8" x14ac:dyDescent="0.25">
      <c r="A30" s="981" t="s">
        <v>207</v>
      </c>
      <c r="B30" s="981" t="s">
        <v>251</v>
      </c>
      <c r="C30" s="981" t="s">
        <v>312</v>
      </c>
      <c r="D30" s="981" t="s">
        <v>60</v>
      </c>
      <c r="E30" s="981">
        <v>0</v>
      </c>
      <c r="F30" s="981">
        <v>0</v>
      </c>
      <c r="G30" s="981">
        <v>0</v>
      </c>
      <c r="H30" s="981">
        <v>0</v>
      </c>
    </row>
    <row r="31" spans="1:8" x14ac:dyDescent="0.25">
      <c r="A31" s="981" t="s">
        <v>207</v>
      </c>
      <c r="B31" s="981" t="s">
        <v>251</v>
      </c>
      <c r="C31" s="981" t="s">
        <v>313</v>
      </c>
      <c r="D31" s="981" t="s">
        <v>33</v>
      </c>
      <c r="E31" s="981">
        <v>0</v>
      </c>
      <c r="F31" s="981">
        <v>0</v>
      </c>
      <c r="G31" s="981">
        <v>0</v>
      </c>
      <c r="H31" s="981">
        <v>0</v>
      </c>
    </row>
    <row r="32" spans="1:8" x14ac:dyDescent="0.25">
      <c r="A32" s="981" t="s">
        <v>207</v>
      </c>
      <c r="B32" s="981" t="s">
        <v>251</v>
      </c>
      <c r="C32" s="981" t="s">
        <v>314</v>
      </c>
      <c r="D32" s="981" t="s">
        <v>37</v>
      </c>
      <c r="E32" s="981">
        <v>0</v>
      </c>
      <c r="F32" s="981">
        <v>0</v>
      </c>
      <c r="G32" s="981">
        <v>0</v>
      </c>
      <c r="H32" s="981">
        <v>0</v>
      </c>
    </row>
    <row r="33" spans="1:8" x14ac:dyDescent="0.25">
      <c r="A33" s="981" t="s">
        <v>207</v>
      </c>
      <c r="B33" s="981" t="s">
        <v>251</v>
      </c>
      <c r="C33" s="981" t="s">
        <v>315</v>
      </c>
      <c r="D33" s="981" t="s">
        <v>50</v>
      </c>
      <c r="E33" s="981">
        <v>0</v>
      </c>
      <c r="F33" s="981">
        <v>0</v>
      </c>
      <c r="G33" s="981">
        <v>0</v>
      </c>
      <c r="H33" s="981">
        <v>0</v>
      </c>
    </row>
    <row r="34" spans="1:8" x14ac:dyDescent="0.25">
      <c r="A34" s="981" t="s">
        <v>207</v>
      </c>
      <c r="B34" s="981" t="s">
        <v>251</v>
      </c>
      <c r="C34" s="981" t="s">
        <v>316</v>
      </c>
      <c r="D34" s="981" t="s">
        <v>39</v>
      </c>
      <c r="E34" s="981">
        <v>0</v>
      </c>
      <c r="F34" s="981">
        <v>0</v>
      </c>
      <c r="G34" s="981">
        <v>0</v>
      </c>
      <c r="H34" s="981">
        <v>0</v>
      </c>
    </row>
    <row r="35" spans="1:8" x14ac:dyDescent="0.25">
      <c r="A35" s="981" t="s">
        <v>207</v>
      </c>
      <c r="B35" s="981" t="s">
        <v>251</v>
      </c>
      <c r="C35" s="981" t="s">
        <v>317</v>
      </c>
      <c r="D35" s="981" t="s">
        <v>124</v>
      </c>
      <c r="E35" s="981">
        <v>0</v>
      </c>
      <c r="F35" s="981">
        <v>0</v>
      </c>
      <c r="G35" s="981">
        <v>0</v>
      </c>
      <c r="H35" s="981">
        <v>0</v>
      </c>
    </row>
    <row r="36" spans="1:8" x14ac:dyDescent="0.25">
      <c r="A36" s="981" t="s">
        <v>207</v>
      </c>
      <c r="B36" s="981" t="s">
        <v>251</v>
      </c>
      <c r="C36" s="981" t="s">
        <v>318</v>
      </c>
      <c r="D36" s="981" t="s">
        <v>43</v>
      </c>
      <c r="E36" s="981">
        <v>0</v>
      </c>
      <c r="F36" s="981">
        <v>0</v>
      </c>
      <c r="G36" s="981">
        <v>0</v>
      </c>
      <c r="H36" s="981">
        <v>0</v>
      </c>
    </row>
    <row r="37" spans="1:8" x14ac:dyDescent="0.25">
      <c r="A37" s="981" t="s">
        <v>206</v>
      </c>
      <c r="B37" s="981" t="s">
        <v>251</v>
      </c>
      <c r="C37" s="981" t="s">
        <v>287</v>
      </c>
      <c r="D37" s="981" t="s">
        <v>35</v>
      </c>
      <c r="E37" s="981">
        <v>0</v>
      </c>
      <c r="F37" s="981">
        <v>0</v>
      </c>
      <c r="G37" s="981">
        <v>0</v>
      </c>
      <c r="H37" s="981">
        <v>0</v>
      </c>
    </row>
    <row r="38" spans="1:8" x14ac:dyDescent="0.25">
      <c r="A38" s="981" t="s">
        <v>206</v>
      </c>
      <c r="B38" s="981" t="s">
        <v>251</v>
      </c>
      <c r="C38" s="981" t="s">
        <v>288</v>
      </c>
      <c r="D38" s="981" t="s">
        <v>36</v>
      </c>
      <c r="E38" s="981">
        <v>3</v>
      </c>
      <c r="F38" s="981">
        <v>0</v>
      </c>
      <c r="G38" s="981">
        <v>1</v>
      </c>
      <c r="H38" s="981">
        <v>2</v>
      </c>
    </row>
    <row r="39" spans="1:8" x14ac:dyDescent="0.25">
      <c r="A39" s="981" t="s">
        <v>206</v>
      </c>
      <c r="B39" s="981" t="s">
        <v>251</v>
      </c>
      <c r="C39" s="981" t="s">
        <v>289</v>
      </c>
      <c r="D39" s="981" t="s">
        <v>38</v>
      </c>
      <c r="E39" s="981">
        <v>0</v>
      </c>
      <c r="F39" s="981">
        <v>0</v>
      </c>
      <c r="G39" s="981">
        <v>0</v>
      </c>
      <c r="H39" s="981">
        <v>0</v>
      </c>
    </row>
    <row r="40" spans="1:8" x14ac:dyDescent="0.25">
      <c r="A40" s="981" t="s">
        <v>206</v>
      </c>
      <c r="B40" s="981" t="s">
        <v>251</v>
      </c>
      <c r="C40" s="981" t="s">
        <v>290</v>
      </c>
      <c r="D40" s="981" t="s">
        <v>40</v>
      </c>
      <c r="E40" s="981">
        <v>0</v>
      </c>
      <c r="F40" s="981">
        <v>0</v>
      </c>
      <c r="G40" s="981">
        <v>0</v>
      </c>
      <c r="H40" s="981">
        <v>0</v>
      </c>
    </row>
    <row r="41" spans="1:8" x14ac:dyDescent="0.25">
      <c r="A41" s="981" t="s">
        <v>206</v>
      </c>
      <c r="B41" s="981" t="s">
        <v>251</v>
      </c>
      <c r="C41" s="981" t="s">
        <v>291</v>
      </c>
      <c r="D41" s="981" t="s">
        <v>41</v>
      </c>
      <c r="E41" s="981">
        <v>0</v>
      </c>
      <c r="F41" s="981">
        <v>0</v>
      </c>
      <c r="G41" s="981">
        <v>0</v>
      </c>
      <c r="H41" s="981">
        <v>0</v>
      </c>
    </row>
    <row r="42" spans="1:8" x14ac:dyDescent="0.25">
      <c r="A42" s="981" t="s">
        <v>206</v>
      </c>
      <c r="B42" s="981" t="s">
        <v>251</v>
      </c>
      <c r="C42" s="981" t="s">
        <v>292</v>
      </c>
      <c r="D42" s="981" t="s">
        <v>48</v>
      </c>
      <c r="E42" s="981">
        <v>0</v>
      </c>
      <c r="F42" s="981">
        <v>0</v>
      </c>
      <c r="G42" s="981">
        <v>0</v>
      </c>
      <c r="H42" s="981">
        <v>0</v>
      </c>
    </row>
    <row r="43" spans="1:8" x14ac:dyDescent="0.25">
      <c r="A43" s="981" t="s">
        <v>206</v>
      </c>
      <c r="B43" s="981" t="s">
        <v>251</v>
      </c>
      <c r="C43" s="981" t="s">
        <v>293</v>
      </c>
      <c r="D43" s="981" t="s">
        <v>42</v>
      </c>
      <c r="E43" s="981">
        <v>0</v>
      </c>
      <c r="F43" s="981">
        <v>0</v>
      </c>
      <c r="G43" s="981">
        <v>0</v>
      </c>
      <c r="H43" s="981">
        <v>0</v>
      </c>
    </row>
    <row r="44" spans="1:8" x14ac:dyDescent="0.25">
      <c r="A44" s="981" t="s">
        <v>206</v>
      </c>
      <c r="B44" s="981" t="s">
        <v>251</v>
      </c>
      <c r="C44" s="981" t="s">
        <v>294</v>
      </c>
      <c r="D44" s="981" t="s">
        <v>44</v>
      </c>
      <c r="E44" s="981">
        <v>69</v>
      </c>
      <c r="F44" s="981">
        <v>8</v>
      </c>
      <c r="G44" s="981">
        <v>12</v>
      </c>
      <c r="H44" s="981">
        <v>49</v>
      </c>
    </row>
    <row r="45" spans="1:8" x14ac:dyDescent="0.25">
      <c r="A45" s="981" t="s">
        <v>206</v>
      </c>
      <c r="B45" s="981" t="s">
        <v>251</v>
      </c>
      <c r="C45" s="981" t="s">
        <v>295</v>
      </c>
      <c r="D45" s="981" t="s">
        <v>45</v>
      </c>
      <c r="E45" s="981">
        <v>0</v>
      </c>
      <c r="F45" s="981">
        <v>0</v>
      </c>
      <c r="G45" s="981">
        <v>0</v>
      </c>
      <c r="H45" s="981">
        <v>0</v>
      </c>
    </row>
    <row r="46" spans="1:8" x14ac:dyDescent="0.25">
      <c r="A46" s="981" t="s">
        <v>206</v>
      </c>
      <c r="B46" s="981" t="s">
        <v>251</v>
      </c>
      <c r="C46" s="981" t="s">
        <v>296</v>
      </c>
      <c r="D46" s="981" t="s">
        <v>46</v>
      </c>
      <c r="E46" s="981">
        <v>0</v>
      </c>
      <c r="F46" s="981">
        <v>0</v>
      </c>
      <c r="G46" s="981">
        <v>0</v>
      </c>
      <c r="H46" s="981">
        <v>0</v>
      </c>
    </row>
    <row r="47" spans="1:8" x14ac:dyDescent="0.25">
      <c r="A47" s="981" t="s">
        <v>206</v>
      </c>
      <c r="B47" s="981" t="s">
        <v>251</v>
      </c>
      <c r="C47" s="981" t="s">
        <v>297</v>
      </c>
      <c r="D47" s="981" t="s">
        <v>47</v>
      </c>
      <c r="E47" s="981">
        <v>25</v>
      </c>
      <c r="F47" s="981">
        <v>1</v>
      </c>
      <c r="G47" s="981">
        <v>2</v>
      </c>
      <c r="H47" s="981">
        <v>22</v>
      </c>
    </row>
    <row r="48" spans="1:8" x14ac:dyDescent="0.25">
      <c r="A48" s="981" t="s">
        <v>206</v>
      </c>
      <c r="B48" s="981" t="s">
        <v>251</v>
      </c>
      <c r="C48" s="981" t="s">
        <v>298</v>
      </c>
      <c r="D48" s="981" t="s">
        <v>49</v>
      </c>
      <c r="E48" s="981">
        <v>26</v>
      </c>
      <c r="F48" s="981">
        <v>3</v>
      </c>
      <c r="G48" s="981">
        <v>3</v>
      </c>
      <c r="H48" s="981">
        <v>20</v>
      </c>
    </row>
    <row r="49" spans="1:8" x14ac:dyDescent="0.25">
      <c r="A49" s="981" t="s">
        <v>206</v>
      </c>
      <c r="B49" s="981" t="s">
        <v>251</v>
      </c>
      <c r="C49" s="981" t="s">
        <v>299</v>
      </c>
      <c r="D49" s="981" t="s">
        <v>51</v>
      </c>
      <c r="E49" s="981">
        <v>1</v>
      </c>
      <c r="F49" s="981">
        <v>0</v>
      </c>
      <c r="G49" s="981">
        <v>1</v>
      </c>
      <c r="H49" s="981">
        <v>0</v>
      </c>
    </row>
    <row r="50" spans="1:8" x14ac:dyDescent="0.25">
      <c r="A50" s="981" t="s">
        <v>206</v>
      </c>
      <c r="B50" s="981" t="s">
        <v>251</v>
      </c>
      <c r="C50" s="981" t="s">
        <v>300</v>
      </c>
      <c r="D50" s="981" t="s">
        <v>52</v>
      </c>
      <c r="E50" s="981">
        <v>24</v>
      </c>
      <c r="F50" s="981">
        <v>0</v>
      </c>
      <c r="G50" s="981">
        <v>5</v>
      </c>
      <c r="H50" s="981">
        <v>19</v>
      </c>
    </row>
    <row r="51" spans="1:8" x14ac:dyDescent="0.25">
      <c r="A51" s="981" t="s">
        <v>206</v>
      </c>
      <c r="B51" s="981" t="s">
        <v>251</v>
      </c>
      <c r="C51" s="981" t="s">
        <v>301</v>
      </c>
      <c r="D51" s="981" t="s">
        <v>54</v>
      </c>
      <c r="E51" s="981">
        <v>0</v>
      </c>
      <c r="F51" s="981">
        <v>0</v>
      </c>
      <c r="G51" s="981">
        <v>0</v>
      </c>
      <c r="H51" s="981">
        <v>0</v>
      </c>
    </row>
    <row r="52" spans="1:8" x14ac:dyDescent="0.25">
      <c r="A52" s="981" t="s">
        <v>206</v>
      </c>
      <c r="B52" s="981" t="s">
        <v>251</v>
      </c>
      <c r="C52" s="981" t="s">
        <v>302</v>
      </c>
      <c r="D52" s="981" t="s">
        <v>55</v>
      </c>
      <c r="E52" s="981">
        <v>1</v>
      </c>
      <c r="F52" s="981">
        <v>0</v>
      </c>
      <c r="G52" s="981">
        <v>0</v>
      </c>
      <c r="H52" s="981">
        <v>1</v>
      </c>
    </row>
    <row r="53" spans="1:8" x14ac:dyDescent="0.25">
      <c r="A53" s="981" t="s">
        <v>206</v>
      </c>
      <c r="B53" s="981" t="s">
        <v>251</v>
      </c>
      <c r="C53" s="981" t="s">
        <v>303</v>
      </c>
      <c r="D53" s="981" t="s">
        <v>56</v>
      </c>
      <c r="E53" s="981">
        <v>0</v>
      </c>
      <c r="F53" s="981">
        <v>0</v>
      </c>
      <c r="G53" s="981">
        <v>0</v>
      </c>
      <c r="H53" s="981">
        <v>0</v>
      </c>
    </row>
    <row r="54" spans="1:8" x14ac:dyDescent="0.25">
      <c r="A54" s="981" t="s">
        <v>206</v>
      </c>
      <c r="B54" s="981" t="s">
        <v>251</v>
      </c>
      <c r="C54" s="981" t="s">
        <v>304</v>
      </c>
      <c r="D54" s="981" t="s">
        <v>57</v>
      </c>
      <c r="E54" s="981">
        <v>4</v>
      </c>
      <c r="F54" s="981">
        <v>1</v>
      </c>
      <c r="G54" s="981"/>
      <c r="H54" s="981">
        <v>3</v>
      </c>
    </row>
    <row r="55" spans="1:8" x14ac:dyDescent="0.25">
      <c r="A55" s="981" t="s">
        <v>206</v>
      </c>
      <c r="B55" s="981" t="s">
        <v>251</v>
      </c>
      <c r="C55" s="981" t="s">
        <v>305</v>
      </c>
      <c r="D55" s="981" t="s">
        <v>58</v>
      </c>
      <c r="E55" s="981">
        <v>0</v>
      </c>
      <c r="F55" s="981">
        <v>0</v>
      </c>
      <c r="G55" s="981">
        <v>0</v>
      </c>
      <c r="H55" s="981">
        <v>0</v>
      </c>
    </row>
    <row r="56" spans="1:8" x14ac:dyDescent="0.25">
      <c r="A56" s="981" t="s">
        <v>206</v>
      </c>
      <c r="B56" s="981" t="s">
        <v>251</v>
      </c>
      <c r="C56" s="981" t="s">
        <v>306</v>
      </c>
      <c r="D56" s="981" t="s">
        <v>31</v>
      </c>
      <c r="E56" s="981">
        <v>0</v>
      </c>
      <c r="F56" s="981">
        <v>0</v>
      </c>
      <c r="G56" s="981">
        <v>0</v>
      </c>
      <c r="H56" s="981">
        <v>0</v>
      </c>
    </row>
    <row r="57" spans="1:8" x14ac:dyDescent="0.25">
      <c r="A57" s="981" t="s">
        <v>206</v>
      </c>
      <c r="B57" s="981" t="s">
        <v>251</v>
      </c>
      <c r="C57" s="981" t="s">
        <v>307</v>
      </c>
      <c r="D57" s="981" t="s">
        <v>32</v>
      </c>
      <c r="E57" s="981">
        <v>0</v>
      </c>
      <c r="F57" s="981">
        <v>0</v>
      </c>
      <c r="G57" s="981">
        <v>0</v>
      </c>
      <c r="H57" s="981">
        <v>0</v>
      </c>
    </row>
    <row r="58" spans="1:8" x14ac:dyDescent="0.25">
      <c r="A58" s="981" t="s">
        <v>206</v>
      </c>
      <c r="B58" s="981" t="s">
        <v>251</v>
      </c>
      <c r="C58" s="981" t="s">
        <v>308</v>
      </c>
      <c r="D58" s="981" t="s">
        <v>34</v>
      </c>
      <c r="E58" s="981">
        <v>225</v>
      </c>
      <c r="F58" s="981">
        <v>25</v>
      </c>
      <c r="G58" s="981">
        <v>20</v>
      </c>
      <c r="H58" s="981">
        <v>180</v>
      </c>
    </row>
    <row r="59" spans="1:8" x14ac:dyDescent="0.25">
      <c r="A59" s="981" t="s">
        <v>206</v>
      </c>
      <c r="B59" s="981" t="s">
        <v>251</v>
      </c>
      <c r="C59" s="981" t="s">
        <v>309</v>
      </c>
      <c r="D59" s="981" t="s">
        <v>262</v>
      </c>
      <c r="E59" s="981">
        <v>0</v>
      </c>
      <c r="F59" s="981">
        <v>0</v>
      </c>
      <c r="G59" s="981">
        <v>0</v>
      </c>
      <c r="H59" s="981">
        <v>0</v>
      </c>
    </row>
    <row r="60" spans="1:8" x14ac:dyDescent="0.25">
      <c r="A60" s="981" t="s">
        <v>206</v>
      </c>
      <c r="B60" s="981" t="s">
        <v>251</v>
      </c>
      <c r="C60" s="981" t="s">
        <v>310</v>
      </c>
      <c r="D60" s="981" t="s">
        <v>53</v>
      </c>
      <c r="E60" s="981">
        <v>0</v>
      </c>
      <c r="F60" s="981">
        <v>0</v>
      </c>
      <c r="G60" s="981">
        <v>0</v>
      </c>
      <c r="H60" s="981">
        <v>0</v>
      </c>
    </row>
    <row r="61" spans="1:8" x14ac:dyDescent="0.25">
      <c r="A61" s="981" t="s">
        <v>206</v>
      </c>
      <c r="B61" s="981" t="s">
        <v>251</v>
      </c>
      <c r="C61" s="981" t="s">
        <v>311</v>
      </c>
      <c r="D61" s="981" t="s">
        <v>59</v>
      </c>
      <c r="E61" s="981">
        <v>0</v>
      </c>
      <c r="F61" s="981">
        <v>0</v>
      </c>
      <c r="G61" s="981">
        <v>0</v>
      </c>
      <c r="H61" s="981">
        <v>0</v>
      </c>
    </row>
    <row r="62" spans="1:8" x14ac:dyDescent="0.25">
      <c r="A62" s="981" t="s">
        <v>206</v>
      </c>
      <c r="B62" s="981" t="s">
        <v>251</v>
      </c>
      <c r="C62" s="981" t="s">
        <v>312</v>
      </c>
      <c r="D62" s="981" t="s">
        <v>60</v>
      </c>
      <c r="E62" s="981">
        <v>0</v>
      </c>
      <c r="F62" s="981">
        <v>0</v>
      </c>
      <c r="G62" s="981">
        <v>0</v>
      </c>
      <c r="H62" s="981">
        <v>0</v>
      </c>
    </row>
    <row r="63" spans="1:8" x14ac:dyDescent="0.25">
      <c r="A63" s="981" t="s">
        <v>206</v>
      </c>
      <c r="B63" s="981" t="s">
        <v>251</v>
      </c>
      <c r="C63" s="981" t="s">
        <v>313</v>
      </c>
      <c r="D63" s="981" t="s">
        <v>33</v>
      </c>
      <c r="E63" s="981">
        <v>0</v>
      </c>
      <c r="F63" s="981">
        <v>0</v>
      </c>
      <c r="G63" s="981">
        <v>0</v>
      </c>
      <c r="H63" s="981">
        <v>0</v>
      </c>
    </row>
    <row r="64" spans="1:8" x14ac:dyDescent="0.25">
      <c r="A64" s="981" t="s">
        <v>206</v>
      </c>
      <c r="B64" s="981" t="s">
        <v>251</v>
      </c>
      <c r="C64" s="981" t="s">
        <v>314</v>
      </c>
      <c r="D64" s="981" t="s">
        <v>37</v>
      </c>
      <c r="E64" s="981">
        <v>0</v>
      </c>
      <c r="F64" s="981">
        <v>0</v>
      </c>
      <c r="G64" s="981">
        <v>0</v>
      </c>
      <c r="H64" s="981">
        <v>0</v>
      </c>
    </row>
    <row r="65" spans="1:8" x14ac:dyDescent="0.25">
      <c r="A65" s="981" t="s">
        <v>206</v>
      </c>
      <c r="B65" s="981" t="s">
        <v>251</v>
      </c>
      <c r="C65" s="981" t="s">
        <v>315</v>
      </c>
      <c r="D65" s="981" t="s">
        <v>50</v>
      </c>
      <c r="E65" s="981">
        <v>0</v>
      </c>
      <c r="F65" s="981">
        <v>0</v>
      </c>
      <c r="G65" s="981">
        <v>0</v>
      </c>
      <c r="H65" s="981">
        <v>0</v>
      </c>
    </row>
    <row r="66" spans="1:8" x14ac:dyDescent="0.25">
      <c r="A66" s="981" t="s">
        <v>206</v>
      </c>
      <c r="B66" s="981" t="s">
        <v>251</v>
      </c>
      <c r="C66" s="981" t="s">
        <v>316</v>
      </c>
      <c r="D66" s="981" t="s">
        <v>39</v>
      </c>
      <c r="E66" s="981">
        <v>0</v>
      </c>
      <c r="F66" s="981">
        <v>0</v>
      </c>
      <c r="G66" s="981">
        <v>0</v>
      </c>
      <c r="H66" s="981">
        <v>0</v>
      </c>
    </row>
    <row r="67" spans="1:8" x14ac:dyDescent="0.25">
      <c r="A67" s="981" t="s">
        <v>206</v>
      </c>
      <c r="B67" s="981" t="s">
        <v>251</v>
      </c>
      <c r="C67" s="981" t="s">
        <v>317</v>
      </c>
      <c r="D67" s="981" t="s">
        <v>124</v>
      </c>
      <c r="E67" s="981">
        <v>0</v>
      </c>
      <c r="F67" s="981">
        <v>0</v>
      </c>
      <c r="G67" s="981">
        <v>0</v>
      </c>
      <c r="H67" s="981">
        <v>0</v>
      </c>
    </row>
    <row r="68" spans="1:8" x14ac:dyDescent="0.25">
      <c r="A68" s="981" t="s">
        <v>206</v>
      </c>
      <c r="B68" s="981" t="s">
        <v>251</v>
      </c>
      <c r="C68" s="981" t="s">
        <v>318</v>
      </c>
      <c r="D68" s="981" t="s">
        <v>43</v>
      </c>
      <c r="E68" s="981">
        <v>0</v>
      </c>
      <c r="F68" s="981">
        <v>0</v>
      </c>
      <c r="G68" s="981">
        <v>0</v>
      </c>
      <c r="H68" s="981">
        <v>0</v>
      </c>
    </row>
    <row r="69" spans="1:8" x14ac:dyDescent="0.25">
      <c r="A69" s="981" t="s">
        <v>205</v>
      </c>
      <c r="B69" s="981" t="s">
        <v>251</v>
      </c>
      <c r="C69" s="981" t="s">
        <v>287</v>
      </c>
      <c r="D69" s="981" t="s">
        <v>35</v>
      </c>
      <c r="E69" s="981">
        <v>0</v>
      </c>
      <c r="F69" s="981">
        <v>0</v>
      </c>
      <c r="G69" s="981">
        <v>0</v>
      </c>
      <c r="H69" s="981">
        <v>0</v>
      </c>
    </row>
    <row r="70" spans="1:8" x14ac:dyDescent="0.25">
      <c r="A70" s="981" t="s">
        <v>205</v>
      </c>
      <c r="B70" s="981" t="s">
        <v>251</v>
      </c>
      <c r="C70" s="981" t="s">
        <v>288</v>
      </c>
      <c r="D70" s="981" t="s">
        <v>36</v>
      </c>
      <c r="E70" s="981">
        <v>5</v>
      </c>
      <c r="F70" s="981">
        <v>1</v>
      </c>
      <c r="G70" s="981">
        <v>1</v>
      </c>
      <c r="H70" s="981">
        <v>3</v>
      </c>
    </row>
    <row r="71" spans="1:8" x14ac:dyDescent="0.25">
      <c r="A71" s="981" t="s">
        <v>205</v>
      </c>
      <c r="B71" s="981" t="s">
        <v>251</v>
      </c>
      <c r="C71" s="981" t="s">
        <v>289</v>
      </c>
      <c r="D71" s="981" t="s">
        <v>38</v>
      </c>
      <c r="E71" s="981">
        <v>0</v>
      </c>
      <c r="F71" s="981">
        <v>0</v>
      </c>
      <c r="G71" s="981">
        <v>0</v>
      </c>
      <c r="H71" s="981">
        <v>0</v>
      </c>
    </row>
    <row r="72" spans="1:8" x14ac:dyDescent="0.25">
      <c r="A72" s="981" t="s">
        <v>205</v>
      </c>
      <c r="B72" s="981" t="s">
        <v>251</v>
      </c>
      <c r="C72" s="981" t="s">
        <v>290</v>
      </c>
      <c r="D72" s="981" t="s">
        <v>40</v>
      </c>
      <c r="E72" s="981">
        <v>0</v>
      </c>
      <c r="F72" s="981">
        <v>0</v>
      </c>
      <c r="G72" s="981">
        <v>0</v>
      </c>
      <c r="H72" s="981">
        <v>0</v>
      </c>
    </row>
    <row r="73" spans="1:8" x14ac:dyDescent="0.25">
      <c r="A73" s="981" t="s">
        <v>205</v>
      </c>
      <c r="B73" s="981" t="s">
        <v>251</v>
      </c>
      <c r="C73" s="981" t="s">
        <v>291</v>
      </c>
      <c r="D73" s="981" t="s">
        <v>41</v>
      </c>
      <c r="E73" s="981">
        <v>0</v>
      </c>
      <c r="F73" s="981">
        <v>0</v>
      </c>
      <c r="G73" s="981">
        <v>0</v>
      </c>
      <c r="H73" s="981">
        <v>0</v>
      </c>
    </row>
    <row r="74" spans="1:8" x14ac:dyDescent="0.25">
      <c r="A74" s="981" t="s">
        <v>205</v>
      </c>
      <c r="B74" s="981" t="s">
        <v>251</v>
      </c>
      <c r="C74" s="981" t="s">
        <v>292</v>
      </c>
      <c r="D74" s="981" t="s">
        <v>48</v>
      </c>
      <c r="E74" s="981">
        <v>0</v>
      </c>
      <c r="F74" s="981">
        <v>0</v>
      </c>
      <c r="G74" s="981">
        <v>0</v>
      </c>
      <c r="H74" s="981">
        <v>0</v>
      </c>
    </row>
    <row r="75" spans="1:8" x14ac:dyDescent="0.25">
      <c r="A75" s="981" t="s">
        <v>205</v>
      </c>
      <c r="B75" s="981" t="s">
        <v>251</v>
      </c>
      <c r="C75" s="981" t="s">
        <v>293</v>
      </c>
      <c r="D75" s="981" t="s">
        <v>42</v>
      </c>
      <c r="E75" s="981">
        <v>0</v>
      </c>
      <c r="F75" s="981">
        <v>0</v>
      </c>
      <c r="G75" s="981">
        <v>0</v>
      </c>
      <c r="H75" s="981">
        <v>0</v>
      </c>
    </row>
    <row r="76" spans="1:8" x14ac:dyDescent="0.25">
      <c r="A76" s="981" t="s">
        <v>205</v>
      </c>
      <c r="B76" s="981" t="s">
        <v>251</v>
      </c>
      <c r="C76" s="981" t="s">
        <v>294</v>
      </c>
      <c r="D76" s="981" t="s">
        <v>44</v>
      </c>
      <c r="E76" s="981">
        <v>68</v>
      </c>
      <c r="F76" s="981">
        <v>8</v>
      </c>
      <c r="G76" s="981">
        <v>14</v>
      </c>
      <c r="H76" s="981">
        <v>46</v>
      </c>
    </row>
    <row r="77" spans="1:8" x14ac:dyDescent="0.25">
      <c r="A77" s="981" t="s">
        <v>205</v>
      </c>
      <c r="B77" s="981" t="s">
        <v>251</v>
      </c>
      <c r="C77" s="981" t="s">
        <v>295</v>
      </c>
      <c r="D77" s="981" t="s">
        <v>45</v>
      </c>
      <c r="E77" s="981">
        <v>0</v>
      </c>
      <c r="F77" s="981">
        <v>0</v>
      </c>
      <c r="G77" s="981">
        <v>0</v>
      </c>
      <c r="H77" s="981">
        <v>0</v>
      </c>
    </row>
    <row r="78" spans="1:8" x14ac:dyDescent="0.25">
      <c r="A78" s="981" t="s">
        <v>205</v>
      </c>
      <c r="B78" s="981" t="s">
        <v>251</v>
      </c>
      <c r="C78" s="981" t="s">
        <v>296</v>
      </c>
      <c r="D78" s="981" t="s">
        <v>46</v>
      </c>
      <c r="E78" s="981">
        <v>0</v>
      </c>
      <c r="F78" s="981">
        <v>0</v>
      </c>
      <c r="G78" s="981">
        <v>0</v>
      </c>
      <c r="H78" s="981">
        <v>0</v>
      </c>
    </row>
    <row r="79" spans="1:8" x14ac:dyDescent="0.25">
      <c r="A79" s="981" t="s">
        <v>205</v>
      </c>
      <c r="B79" s="981" t="s">
        <v>251</v>
      </c>
      <c r="C79" s="981" t="s">
        <v>297</v>
      </c>
      <c r="D79" s="981" t="s">
        <v>47</v>
      </c>
      <c r="E79" s="981">
        <v>20</v>
      </c>
      <c r="F79" s="981">
        <v>2</v>
      </c>
      <c r="G79" s="981">
        <v>1</v>
      </c>
      <c r="H79" s="981">
        <v>17</v>
      </c>
    </row>
    <row r="80" spans="1:8" x14ac:dyDescent="0.25">
      <c r="A80" s="981" t="s">
        <v>205</v>
      </c>
      <c r="B80" s="981" t="s">
        <v>251</v>
      </c>
      <c r="C80" s="981" t="s">
        <v>298</v>
      </c>
      <c r="D80" s="981" t="s">
        <v>49</v>
      </c>
      <c r="E80" s="981">
        <v>22</v>
      </c>
      <c r="F80" s="981">
        <v>3</v>
      </c>
      <c r="G80" s="981">
        <v>4</v>
      </c>
      <c r="H80" s="981">
        <v>15</v>
      </c>
    </row>
    <row r="81" spans="1:8" x14ac:dyDescent="0.25">
      <c r="A81" s="981" t="s">
        <v>205</v>
      </c>
      <c r="B81" s="981" t="s">
        <v>251</v>
      </c>
      <c r="C81" s="981" t="s">
        <v>299</v>
      </c>
      <c r="D81" s="981" t="s">
        <v>51</v>
      </c>
      <c r="E81" s="981">
        <v>0</v>
      </c>
      <c r="F81" s="981">
        <v>0</v>
      </c>
      <c r="G81" s="981">
        <v>0</v>
      </c>
      <c r="H81" s="981">
        <v>0</v>
      </c>
    </row>
    <row r="82" spans="1:8" x14ac:dyDescent="0.25">
      <c r="A82" s="981" t="s">
        <v>205</v>
      </c>
      <c r="B82" s="981" t="s">
        <v>251</v>
      </c>
      <c r="C82" s="981" t="s">
        <v>300</v>
      </c>
      <c r="D82" s="981" t="s">
        <v>52</v>
      </c>
      <c r="E82" s="981">
        <v>23</v>
      </c>
      <c r="F82" s="981">
        <v>0</v>
      </c>
      <c r="G82" s="981">
        <v>2</v>
      </c>
      <c r="H82" s="981">
        <v>21</v>
      </c>
    </row>
    <row r="83" spans="1:8" x14ac:dyDescent="0.25">
      <c r="A83" s="981" t="s">
        <v>205</v>
      </c>
      <c r="B83" s="981" t="s">
        <v>251</v>
      </c>
      <c r="C83" s="981" t="s">
        <v>301</v>
      </c>
      <c r="D83" s="981" t="s">
        <v>54</v>
      </c>
      <c r="E83" s="981">
        <v>0</v>
      </c>
      <c r="F83" s="981">
        <v>0</v>
      </c>
      <c r="G83" s="981">
        <v>0</v>
      </c>
      <c r="H83" s="981">
        <v>0</v>
      </c>
    </row>
    <row r="84" spans="1:8" x14ac:dyDescent="0.25">
      <c r="A84" s="981" t="s">
        <v>205</v>
      </c>
      <c r="B84" s="981" t="s">
        <v>251</v>
      </c>
      <c r="C84" s="981" t="s">
        <v>302</v>
      </c>
      <c r="D84" s="981" t="s">
        <v>55</v>
      </c>
      <c r="E84" s="981">
        <v>0</v>
      </c>
      <c r="F84" s="981">
        <v>0</v>
      </c>
      <c r="G84" s="981">
        <v>0</v>
      </c>
      <c r="H84" s="981">
        <v>0</v>
      </c>
    </row>
    <row r="85" spans="1:8" x14ac:dyDescent="0.25">
      <c r="A85" s="981" t="s">
        <v>205</v>
      </c>
      <c r="B85" s="981" t="s">
        <v>251</v>
      </c>
      <c r="C85" s="981" t="s">
        <v>303</v>
      </c>
      <c r="D85" s="981" t="s">
        <v>56</v>
      </c>
      <c r="E85" s="981">
        <v>0</v>
      </c>
      <c r="F85" s="981">
        <v>0</v>
      </c>
      <c r="G85" s="981">
        <v>0</v>
      </c>
      <c r="H85" s="981">
        <v>0</v>
      </c>
    </row>
    <row r="86" spans="1:8" x14ac:dyDescent="0.25">
      <c r="A86" s="981" t="s">
        <v>205</v>
      </c>
      <c r="B86" s="981" t="s">
        <v>251</v>
      </c>
      <c r="C86" s="981" t="s">
        <v>304</v>
      </c>
      <c r="D86" s="981" t="s">
        <v>57</v>
      </c>
      <c r="E86" s="981">
        <v>3</v>
      </c>
      <c r="F86" s="981">
        <v>0</v>
      </c>
      <c r="G86" s="981">
        <v>1</v>
      </c>
      <c r="H86" s="981">
        <v>2</v>
      </c>
    </row>
    <row r="87" spans="1:8" x14ac:dyDescent="0.25">
      <c r="A87" s="981" t="s">
        <v>205</v>
      </c>
      <c r="B87" s="981" t="s">
        <v>251</v>
      </c>
      <c r="C87" s="981" t="s">
        <v>305</v>
      </c>
      <c r="D87" s="981" t="s">
        <v>58</v>
      </c>
      <c r="E87" s="981">
        <v>0</v>
      </c>
      <c r="F87" s="981">
        <v>0</v>
      </c>
      <c r="G87" s="981">
        <v>0</v>
      </c>
      <c r="H87" s="981">
        <v>0</v>
      </c>
    </row>
    <row r="88" spans="1:8" x14ac:dyDescent="0.25">
      <c r="A88" s="981" t="s">
        <v>205</v>
      </c>
      <c r="B88" s="981" t="s">
        <v>251</v>
      </c>
      <c r="C88" s="981" t="s">
        <v>306</v>
      </c>
      <c r="D88" s="981" t="s">
        <v>31</v>
      </c>
      <c r="E88" s="981">
        <v>0</v>
      </c>
      <c r="F88" s="981">
        <v>0</v>
      </c>
      <c r="G88" s="981">
        <v>0</v>
      </c>
      <c r="H88" s="981">
        <v>0</v>
      </c>
    </row>
    <row r="89" spans="1:8" x14ac:dyDescent="0.25">
      <c r="A89" s="981" t="s">
        <v>205</v>
      </c>
      <c r="B89" s="981" t="s">
        <v>251</v>
      </c>
      <c r="C89" s="981" t="s">
        <v>307</v>
      </c>
      <c r="D89" s="981" t="s">
        <v>32</v>
      </c>
      <c r="E89" s="981">
        <v>0</v>
      </c>
      <c r="F89" s="981">
        <v>0</v>
      </c>
      <c r="G89" s="981">
        <v>0</v>
      </c>
      <c r="H89" s="981">
        <v>0</v>
      </c>
    </row>
    <row r="90" spans="1:8" x14ac:dyDescent="0.25">
      <c r="A90" s="981" t="s">
        <v>205</v>
      </c>
      <c r="B90" s="981" t="s">
        <v>251</v>
      </c>
      <c r="C90" s="981" t="s">
        <v>308</v>
      </c>
      <c r="D90" s="981" t="s">
        <v>34</v>
      </c>
      <c r="E90" s="981">
        <v>201</v>
      </c>
      <c r="F90" s="981">
        <v>22</v>
      </c>
      <c r="G90" s="981">
        <v>23</v>
      </c>
      <c r="H90" s="981">
        <v>156</v>
      </c>
    </row>
    <row r="91" spans="1:8" x14ac:dyDescent="0.25">
      <c r="A91" s="981" t="s">
        <v>205</v>
      </c>
      <c r="B91" s="981" t="s">
        <v>251</v>
      </c>
      <c r="C91" s="981" t="s">
        <v>309</v>
      </c>
      <c r="D91" s="981" t="s">
        <v>262</v>
      </c>
      <c r="E91" s="981">
        <v>0</v>
      </c>
      <c r="F91" s="981">
        <v>0</v>
      </c>
      <c r="G91" s="981">
        <v>0</v>
      </c>
      <c r="H91" s="981">
        <v>0</v>
      </c>
    </row>
    <row r="92" spans="1:8" x14ac:dyDescent="0.25">
      <c r="A92" s="981" t="s">
        <v>205</v>
      </c>
      <c r="B92" s="981" t="s">
        <v>251</v>
      </c>
      <c r="C92" s="981" t="s">
        <v>310</v>
      </c>
      <c r="D92" s="981" t="s">
        <v>53</v>
      </c>
      <c r="E92" s="981">
        <v>0</v>
      </c>
      <c r="F92" s="981">
        <v>0</v>
      </c>
      <c r="G92" s="981">
        <v>0</v>
      </c>
      <c r="H92" s="981">
        <v>0</v>
      </c>
    </row>
    <row r="93" spans="1:8" x14ac:dyDescent="0.25">
      <c r="A93" s="981" t="s">
        <v>205</v>
      </c>
      <c r="B93" s="981" t="s">
        <v>251</v>
      </c>
      <c r="C93" s="981" t="s">
        <v>311</v>
      </c>
      <c r="D93" s="981" t="s">
        <v>59</v>
      </c>
      <c r="E93" s="981">
        <v>0</v>
      </c>
      <c r="F93" s="981">
        <v>0</v>
      </c>
      <c r="G93" s="981">
        <v>0</v>
      </c>
      <c r="H93" s="981">
        <v>0</v>
      </c>
    </row>
    <row r="94" spans="1:8" x14ac:dyDescent="0.25">
      <c r="A94" s="981" t="s">
        <v>205</v>
      </c>
      <c r="B94" s="981" t="s">
        <v>251</v>
      </c>
      <c r="C94" s="981" t="s">
        <v>312</v>
      </c>
      <c r="D94" s="981" t="s">
        <v>60</v>
      </c>
      <c r="E94" s="981">
        <v>0</v>
      </c>
      <c r="F94" s="981">
        <v>0</v>
      </c>
      <c r="G94" s="981">
        <v>0</v>
      </c>
      <c r="H94" s="981">
        <v>0</v>
      </c>
    </row>
    <row r="95" spans="1:8" x14ac:dyDescent="0.25">
      <c r="A95" s="981" t="s">
        <v>205</v>
      </c>
      <c r="B95" s="981" t="s">
        <v>251</v>
      </c>
      <c r="C95" s="981" t="s">
        <v>313</v>
      </c>
      <c r="D95" s="981" t="s">
        <v>33</v>
      </c>
      <c r="E95" s="981">
        <v>0</v>
      </c>
      <c r="F95" s="981">
        <v>0</v>
      </c>
      <c r="G95" s="981">
        <v>0</v>
      </c>
      <c r="H95" s="981">
        <v>0</v>
      </c>
    </row>
    <row r="96" spans="1:8" x14ac:dyDescent="0.25">
      <c r="A96" s="981" t="s">
        <v>205</v>
      </c>
      <c r="B96" s="981" t="s">
        <v>251</v>
      </c>
      <c r="C96" s="981" t="s">
        <v>314</v>
      </c>
      <c r="D96" s="981" t="s">
        <v>37</v>
      </c>
      <c r="E96" s="981">
        <v>0</v>
      </c>
      <c r="F96" s="981">
        <v>0</v>
      </c>
      <c r="G96" s="981">
        <v>0</v>
      </c>
      <c r="H96" s="981">
        <v>0</v>
      </c>
    </row>
    <row r="97" spans="1:8" x14ac:dyDescent="0.25">
      <c r="A97" s="981" t="s">
        <v>205</v>
      </c>
      <c r="B97" s="981" t="s">
        <v>251</v>
      </c>
      <c r="C97" s="981" t="s">
        <v>315</v>
      </c>
      <c r="D97" s="981" t="s">
        <v>50</v>
      </c>
      <c r="E97" s="981">
        <v>0</v>
      </c>
      <c r="F97" s="981">
        <v>0</v>
      </c>
      <c r="G97" s="981">
        <v>0</v>
      </c>
      <c r="H97" s="981">
        <v>0</v>
      </c>
    </row>
    <row r="98" spans="1:8" x14ac:dyDescent="0.25">
      <c r="A98" s="981" t="s">
        <v>205</v>
      </c>
      <c r="B98" s="981" t="s">
        <v>251</v>
      </c>
      <c r="C98" s="981" t="s">
        <v>316</v>
      </c>
      <c r="D98" s="981" t="s">
        <v>39</v>
      </c>
      <c r="E98" s="981">
        <v>0</v>
      </c>
      <c r="F98" s="981">
        <v>0</v>
      </c>
      <c r="G98" s="981">
        <v>0</v>
      </c>
      <c r="H98" s="981">
        <v>0</v>
      </c>
    </row>
    <row r="99" spans="1:8" x14ac:dyDescent="0.25">
      <c r="A99" s="981" t="s">
        <v>205</v>
      </c>
      <c r="B99" s="981" t="s">
        <v>251</v>
      </c>
      <c r="C99" s="981" t="s">
        <v>317</v>
      </c>
      <c r="D99" s="981" t="s">
        <v>124</v>
      </c>
      <c r="E99" s="981">
        <v>0</v>
      </c>
      <c r="F99" s="981">
        <v>0</v>
      </c>
      <c r="G99" s="981">
        <v>0</v>
      </c>
      <c r="H99" s="981">
        <v>0</v>
      </c>
    </row>
    <row r="100" spans="1:8" x14ac:dyDescent="0.25">
      <c r="A100" s="981" t="s">
        <v>205</v>
      </c>
      <c r="B100" s="981" t="s">
        <v>251</v>
      </c>
      <c r="C100" s="981" t="s">
        <v>318</v>
      </c>
      <c r="D100" s="981" t="s">
        <v>43</v>
      </c>
      <c r="E100" s="981">
        <v>0</v>
      </c>
      <c r="F100" s="981">
        <v>0</v>
      </c>
      <c r="G100" s="981">
        <v>0</v>
      </c>
      <c r="H100" s="981">
        <v>0</v>
      </c>
    </row>
    <row r="101" spans="1:8" x14ac:dyDescent="0.25">
      <c r="A101" s="981" t="s">
        <v>278</v>
      </c>
      <c r="B101" s="981" t="s">
        <v>251</v>
      </c>
      <c r="C101" s="981" t="s">
        <v>287</v>
      </c>
      <c r="D101" s="981" t="s">
        <v>35</v>
      </c>
      <c r="E101" s="981">
        <v>0</v>
      </c>
      <c r="F101" s="981">
        <v>0</v>
      </c>
      <c r="G101" s="981">
        <v>0</v>
      </c>
      <c r="H101" s="981">
        <v>0</v>
      </c>
    </row>
    <row r="102" spans="1:8" x14ac:dyDescent="0.25">
      <c r="A102" s="981" t="s">
        <v>278</v>
      </c>
      <c r="B102" s="981" t="s">
        <v>251</v>
      </c>
      <c r="C102" s="981" t="s">
        <v>288</v>
      </c>
      <c r="D102" s="981" t="s">
        <v>36</v>
      </c>
      <c r="E102" s="981">
        <v>5</v>
      </c>
      <c r="F102" s="981">
        <v>1</v>
      </c>
      <c r="G102" s="981">
        <v>1</v>
      </c>
      <c r="H102" s="981">
        <v>3</v>
      </c>
    </row>
    <row r="103" spans="1:8" x14ac:dyDescent="0.25">
      <c r="A103" s="981" t="s">
        <v>278</v>
      </c>
      <c r="B103" s="981" t="s">
        <v>251</v>
      </c>
      <c r="C103" s="981" t="s">
        <v>289</v>
      </c>
      <c r="D103" s="981" t="s">
        <v>38</v>
      </c>
      <c r="E103" s="981">
        <v>0</v>
      </c>
      <c r="F103" s="981">
        <v>0</v>
      </c>
      <c r="G103" s="981">
        <v>0</v>
      </c>
      <c r="H103" s="981">
        <v>0</v>
      </c>
    </row>
    <row r="104" spans="1:8" x14ac:dyDescent="0.25">
      <c r="A104" s="981" t="s">
        <v>278</v>
      </c>
      <c r="B104" s="981" t="s">
        <v>251</v>
      </c>
      <c r="C104" s="981" t="s">
        <v>290</v>
      </c>
      <c r="D104" s="981" t="s">
        <v>40</v>
      </c>
      <c r="E104" s="981">
        <v>0</v>
      </c>
      <c r="F104" s="981">
        <v>0</v>
      </c>
      <c r="G104" s="981">
        <v>0</v>
      </c>
      <c r="H104" s="981">
        <v>0</v>
      </c>
    </row>
    <row r="105" spans="1:8" x14ac:dyDescent="0.25">
      <c r="A105" s="981" t="s">
        <v>278</v>
      </c>
      <c r="B105" s="981" t="s">
        <v>251</v>
      </c>
      <c r="C105" s="981" t="s">
        <v>291</v>
      </c>
      <c r="D105" s="981" t="s">
        <v>41</v>
      </c>
      <c r="E105" s="981">
        <v>0</v>
      </c>
      <c r="F105" s="981">
        <v>0</v>
      </c>
      <c r="G105" s="981">
        <v>0</v>
      </c>
      <c r="H105" s="981">
        <v>0</v>
      </c>
    </row>
    <row r="106" spans="1:8" x14ac:dyDescent="0.25">
      <c r="A106" s="981" t="s">
        <v>278</v>
      </c>
      <c r="B106" s="981" t="s">
        <v>251</v>
      </c>
      <c r="C106" s="981" t="s">
        <v>292</v>
      </c>
      <c r="D106" s="981" t="s">
        <v>48</v>
      </c>
      <c r="E106" s="981">
        <v>0</v>
      </c>
      <c r="F106" s="981">
        <v>0</v>
      </c>
      <c r="G106" s="981">
        <v>0</v>
      </c>
      <c r="H106" s="981">
        <v>0</v>
      </c>
    </row>
    <row r="107" spans="1:8" x14ac:dyDescent="0.25">
      <c r="A107" s="981" t="s">
        <v>278</v>
      </c>
      <c r="B107" s="981" t="s">
        <v>251</v>
      </c>
      <c r="C107" s="981" t="s">
        <v>293</v>
      </c>
      <c r="D107" s="981" t="s">
        <v>42</v>
      </c>
      <c r="E107" s="981">
        <v>0</v>
      </c>
      <c r="F107" s="981">
        <v>0</v>
      </c>
      <c r="G107" s="981">
        <v>0</v>
      </c>
      <c r="H107" s="981">
        <v>0</v>
      </c>
    </row>
    <row r="108" spans="1:8" x14ac:dyDescent="0.25">
      <c r="A108" s="981" t="s">
        <v>278</v>
      </c>
      <c r="B108" s="981" t="s">
        <v>251</v>
      </c>
      <c r="C108" s="981" t="s">
        <v>294</v>
      </c>
      <c r="D108" s="981" t="s">
        <v>44</v>
      </c>
      <c r="E108" s="981">
        <v>67</v>
      </c>
      <c r="F108" s="981">
        <v>7</v>
      </c>
      <c r="G108" s="981">
        <v>13</v>
      </c>
      <c r="H108" s="981">
        <v>47</v>
      </c>
    </row>
    <row r="109" spans="1:8" x14ac:dyDescent="0.25">
      <c r="A109" s="981" t="s">
        <v>278</v>
      </c>
      <c r="B109" s="981" t="s">
        <v>251</v>
      </c>
      <c r="C109" s="981" t="s">
        <v>295</v>
      </c>
      <c r="D109" s="981" t="s">
        <v>45</v>
      </c>
      <c r="E109" s="981">
        <v>0</v>
      </c>
      <c r="F109" s="981">
        <v>0</v>
      </c>
      <c r="G109" s="981">
        <v>0</v>
      </c>
      <c r="H109" s="981">
        <v>0</v>
      </c>
    </row>
    <row r="110" spans="1:8" x14ac:dyDescent="0.25">
      <c r="A110" s="981" t="s">
        <v>278</v>
      </c>
      <c r="B110" s="981" t="s">
        <v>251</v>
      </c>
      <c r="C110" s="981" t="s">
        <v>296</v>
      </c>
      <c r="D110" s="981" t="s">
        <v>46</v>
      </c>
      <c r="E110" s="981">
        <v>0</v>
      </c>
      <c r="F110" s="981">
        <v>0</v>
      </c>
      <c r="G110" s="981">
        <v>0</v>
      </c>
      <c r="H110" s="981">
        <v>0</v>
      </c>
    </row>
    <row r="111" spans="1:8" x14ac:dyDescent="0.25">
      <c r="A111" s="981" t="s">
        <v>278</v>
      </c>
      <c r="B111" s="981" t="s">
        <v>251</v>
      </c>
      <c r="C111" s="981" t="s">
        <v>297</v>
      </c>
      <c r="D111" s="981" t="s">
        <v>47</v>
      </c>
      <c r="E111" s="981">
        <v>0</v>
      </c>
      <c r="F111" s="981">
        <v>0</v>
      </c>
      <c r="G111" s="981">
        <v>0</v>
      </c>
      <c r="H111" s="981">
        <v>0</v>
      </c>
    </row>
    <row r="112" spans="1:8" x14ac:dyDescent="0.25">
      <c r="A112" s="981" t="s">
        <v>278</v>
      </c>
      <c r="B112" s="981" t="s">
        <v>251</v>
      </c>
      <c r="C112" s="981" t="s">
        <v>298</v>
      </c>
      <c r="D112" s="981" t="s">
        <v>49</v>
      </c>
      <c r="E112" s="981">
        <v>18</v>
      </c>
      <c r="F112" s="981">
        <v>3</v>
      </c>
      <c r="G112" s="981">
        <v>4</v>
      </c>
      <c r="H112" s="981">
        <v>11</v>
      </c>
    </row>
    <row r="113" spans="1:8" x14ac:dyDescent="0.25">
      <c r="A113" s="981" t="s">
        <v>278</v>
      </c>
      <c r="B113" s="981" t="s">
        <v>251</v>
      </c>
      <c r="C113" s="981" t="s">
        <v>299</v>
      </c>
      <c r="D113" s="981" t="s">
        <v>51</v>
      </c>
      <c r="E113" s="981">
        <v>0</v>
      </c>
      <c r="F113" s="981">
        <v>0</v>
      </c>
      <c r="G113" s="981">
        <v>0</v>
      </c>
      <c r="H113" s="981">
        <v>0</v>
      </c>
    </row>
    <row r="114" spans="1:8" x14ac:dyDescent="0.25">
      <c r="A114" s="981" t="s">
        <v>278</v>
      </c>
      <c r="B114" s="981" t="s">
        <v>251</v>
      </c>
      <c r="C114" s="981" t="s">
        <v>300</v>
      </c>
      <c r="D114" s="981" t="s">
        <v>52</v>
      </c>
      <c r="E114" s="981">
        <v>23</v>
      </c>
      <c r="F114" s="981">
        <v>0</v>
      </c>
      <c r="G114" s="981">
        <v>3</v>
      </c>
      <c r="H114" s="981">
        <v>20</v>
      </c>
    </row>
    <row r="115" spans="1:8" x14ac:dyDescent="0.25">
      <c r="A115" s="981" t="s">
        <v>278</v>
      </c>
      <c r="B115" s="981" t="s">
        <v>251</v>
      </c>
      <c r="C115" s="981" t="s">
        <v>301</v>
      </c>
      <c r="D115" s="981" t="s">
        <v>54</v>
      </c>
      <c r="E115" s="981">
        <v>0</v>
      </c>
      <c r="F115" s="981">
        <v>0</v>
      </c>
      <c r="G115" s="981">
        <v>0</v>
      </c>
      <c r="H115" s="981">
        <v>0</v>
      </c>
    </row>
    <row r="116" spans="1:8" x14ac:dyDescent="0.25">
      <c r="A116" s="981" t="s">
        <v>278</v>
      </c>
      <c r="B116" s="981" t="s">
        <v>251</v>
      </c>
      <c r="C116" s="981" t="s">
        <v>302</v>
      </c>
      <c r="D116" s="981" t="s">
        <v>55</v>
      </c>
      <c r="E116" s="981">
        <v>0</v>
      </c>
      <c r="F116" s="981">
        <v>0</v>
      </c>
      <c r="G116" s="981">
        <v>0</v>
      </c>
      <c r="H116" s="981">
        <v>0</v>
      </c>
    </row>
    <row r="117" spans="1:8" x14ac:dyDescent="0.25">
      <c r="A117" s="981" t="s">
        <v>278</v>
      </c>
      <c r="B117" s="981" t="s">
        <v>251</v>
      </c>
      <c r="C117" s="981" t="s">
        <v>303</v>
      </c>
      <c r="D117" s="981" t="s">
        <v>56</v>
      </c>
      <c r="E117" s="981">
        <v>0</v>
      </c>
      <c r="F117" s="981">
        <v>0</v>
      </c>
      <c r="G117" s="981">
        <v>0</v>
      </c>
      <c r="H117" s="981">
        <v>0</v>
      </c>
    </row>
    <row r="118" spans="1:8" x14ac:dyDescent="0.25">
      <c r="A118" s="981" t="s">
        <v>278</v>
      </c>
      <c r="B118" s="981" t="s">
        <v>251</v>
      </c>
      <c r="C118" s="981" t="s">
        <v>304</v>
      </c>
      <c r="D118" s="981" t="s">
        <v>57</v>
      </c>
      <c r="E118" s="981">
        <v>3</v>
      </c>
      <c r="F118" s="981">
        <v>1</v>
      </c>
      <c r="G118" s="981">
        <v>0</v>
      </c>
      <c r="H118" s="981">
        <v>2</v>
      </c>
    </row>
    <row r="119" spans="1:8" x14ac:dyDescent="0.25">
      <c r="A119" s="981" t="s">
        <v>278</v>
      </c>
      <c r="B119" s="981" t="s">
        <v>251</v>
      </c>
      <c r="C119" s="981" t="s">
        <v>305</v>
      </c>
      <c r="D119" s="981" t="s">
        <v>58</v>
      </c>
      <c r="E119" s="981">
        <v>0</v>
      </c>
      <c r="F119" s="981">
        <v>0</v>
      </c>
      <c r="G119" s="981">
        <v>0</v>
      </c>
      <c r="H119" s="981">
        <v>0</v>
      </c>
    </row>
    <row r="120" spans="1:8" x14ac:dyDescent="0.25">
      <c r="A120" s="981" t="s">
        <v>278</v>
      </c>
      <c r="B120" s="981" t="s">
        <v>251</v>
      </c>
      <c r="C120" s="981" t="s">
        <v>306</v>
      </c>
      <c r="D120" s="981" t="s">
        <v>31</v>
      </c>
      <c r="E120" s="981">
        <v>0</v>
      </c>
      <c r="F120" s="981">
        <v>0</v>
      </c>
      <c r="G120" s="981">
        <v>0</v>
      </c>
      <c r="H120" s="981">
        <v>0</v>
      </c>
    </row>
    <row r="121" spans="1:8" x14ac:dyDescent="0.25">
      <c r="A121" s="981" t="s">
        <v>278</v>
      </c>
      <c r="B121" s="981" t="s">
        <v>251</v>
      </c>
      <c r="C121" s="981" t="s">
        <v>307</v>
      </c>
      <c r="D121" s="981" t="s">
        <v>32</v>
      </c>
      <c r="E121" s="981">
        <v>0</v>
      </c>
      <c r="F121" s="981">
        <v>0</v>
      </c>
      <c r="G121" s="981">
        <v>0</v>
      </c>
      <c r="H121" s="981">
        <v>0</v>
      </c>
    </row>
    <row r="122" spans="1:8" x14ac:dyDescent="0.25">
      <c r="A122" s="981" t="s">
        <v>278</v>
      </c>
      <c r="B122" s="981" t="s">
        <v>251</v>
      </c>
      <c r="C122" s="981" t="s">
        <v>308</v>
      </c>
      <c r="D122" s="981" t="s">
        <v>34</v>
      </c>
      <c r="E122" s="981">
        <v>200</v>
      </c>
      <c r="F122" s="981">
        <v>24</v>
      </c>
      <c r="G122" s="981">
        <v>21</v>
      </c>
      <c r="H122" s="981">
        <v>155</v>
      </c>
    </row>
    <row r="123" spans="1:8" x14ac:dyDescent="0.25">
      <c r="A123" s="981" t="s">
        <v>278</v>
      </c>
      <c r="B123" s="981" t="s">
        <v>251</v>
      </c>
      <c r="C123" s="981" t="s">
        <v>309</v>
      </c>
      <c r="D123" s="981" t="s">
        <v>262</v>
      </c>
      <c r="E123" s="981">
        <v>0</v>
      </c>
      <c r="F123" s="981">
        <v>0</v>
      </c>
      <c r="G123" s="981">
        <v>0</v>
      </c>
      <c r="H123" s="981">
        <v>0</v>
      </c>
    </row>
    <row r="124" spans="1:8" x14ac:dyDescent="0.25">
      <c r="A124" s="981" t="s">
        <v>278</v>
      </c>
      <c r="B124" s="981" t="s">
        <v>251</v>
      </c>
      <c r="C124" s="981" t="s">
        <v>310</v>
      </c>
      <c r="D124" s="981" t="s">
        <v>53</v>
      </c>
      <c r="E124" s="981">
        <v>0</v>
      </c>
      <c r="F124" s="981">
        <v>0</v>
      </c>
      <c r="G124" s="981">
        <v>0</v>
      </c>
      <c r="H124" s="981">
        <v>0</v>
      </c>
    </row>
    <row r="125" spans="1:8" x14ac:dyDescent="0.25">
      <c r="A125" s="981" t="s">
        <v>278</v>
      </c>
      <c r="B125" s="981" t="s">
        <v>251</v>
      </c>
      <c r="C125" s="981" t="s">
        <v>311</v>
      </c>
      <c r="D125" s="981" t="s">
        <v>59</v>
      </c>
      <c r="E125" s="981">
        <v>0</v>
      </c>
      <c r="F125" s="981">
        <v>0</v>
      </c>
      <c r="G125" s="981">
        <v>0</v>
      </c>
      <c r="H125" s="981">
        <v>0</v>
      </c>
    </row>
    <row r="126" spans="1:8" x14ac:dyDescent="0.25">
      <c r="A126" s="981" t="s">
        <v>278</v>
      </c>
      <c r="B126" s="981" t="s">
        <v>251</v>
      </c>
      <c r="C126" s="981" t="s">
        <v>312</v>
      </c>
      <c r="D126" s="981" t="s">
        <v>60</v>
      </c>
      <c r="E126" s="981">
        <v>0</v>
      </c>
      <c r="F126" s="981">
        <v>0</v>
      </c>
      <c r="G126" s="981">
        <v>0</v>
      </c>
      <c r="H126" s="981">
        <v>0</v>
      </c>
    </row>
    <row r="127" spans="1:8" x14ac:dyDescent="0.25">
      <c r="A127" s="981" t="s">
        <v>278</v>
      </c>
      <c r="B127" s="981" t="s">
        <v>251</v>
      </c>
      <c r="C127" s="981" t="s">
        <v>313</v>
      </c>
      <c r="D127" s="981" t="s">
        <v>33</v>
      </c>
      <c r="E127" s="981">
        <v>0</v>
      </c>
      <c r="F127" s="981">
        <v>0</v>
      </c>
      <c r="G127" s="981">
        <v>0</v>
      </c>
      <c r="H127" s="981">
        <v>0</v>
      </c>
    </row>
    <row r="128" spans="1:8" x14ac:dyDescent="0.25">
      <c r="A128" s="981" t="s">
        <v>278</v>
      </c>
      <c r="B128" s="981" t="s">
        <v>251</v>
      </c>
      <c r="C128" s="981" t="s">
        <v>314</v>
      </c>
      <c r="D128" s="981" t="s">
        <v>37</v>
      </c>
      <c r="E128" s="981">
        <v>0</v>
      </c>
      <c r="F128" s="981">
        <v>0</v>
      </c>
      <c r="G128" s="981">
        <v>0</v>
      </c>
      <c r="H128" s="981">
        <v>0</v>
      </c>
    </row>
    <row r="129" spans="1:8" x14ac:dyDescent="0.25">
      <c r="A129" s="981" t="s">
        <v>278</v>
      </c>
      <c r="B129" s="981" t="s">
        <v>251</v>
      </c>
      <c r="C129" s="981" t="s">
        <v>315</v>
      </c>
      <c r="D129" s="981" t="s">
        <v>50</v>
      </c>
      <c r="E129" s="981">
        <v>0</v>
      </c>
      <c r="F129" s="981">
        <v>0</v>
      </c>
      <c r="G129" s="981">
        <v>0</v>
      </c>
      <c r="H129" s="981">
        <v>0</v>
      </c>
    </row>
    <row r="130" spans="1:8" x14ac:dyDescent="0.25">
      <c r="A130" s="981" t="s">
        <v>278</v>
      </c>
      <c r="B130" s="981" t="s">
        <v>251</v>
      </c>
      <c r="C130" s="981" t="s">
        <v>316</v>
      </c>
      <c r="D130" s="981" t="s">
        <v>39</v>
      </c>
      <c r="E130" s="981">
        <v>0</v>
      </c>
      <c r="F130" s="981">
        <v>0</v>
      </c>
      <c r="G130" s="981">
        <v>0</v>
      </c>
      <c r="H130" s="981">
        <v>0</v>
      </c>
    </row>
    <row r="131" spans="1:8" x14ac:dyDescent="0.25">
      <c r="A131" s="981" t="s">
        <v>278</v>
      </c>
      <c r="B131" s="981" t="s">
        <v>251</v>
      </c>
      <c r="C131" s="981" t="s">
        <v>317</v>
      </c>
      <c r="D131" s="981" t="s">
        <v>124</v>
      </c>
      <c r="E131" s="981">
        <v>0</v>
      </c>
      <c r="F131" s="981">
        <v>0</v>
      </c>
      <c r="G131" s="981">
        <v>0</v>
      </c>
      <c r="H131" s="981">
        <v>0</v>
      </c>
    </row>
    <row r="132" spans="1:8" x14ac:dyDescent="0.25">
      <c r="A132" s="981" t="s">
        <v>278</v>
      </c>
      <c r="B132" s="981" t="s">
        <v>251</v>
      </c>
      <c r="C132" s="981" t="s">
        <v>318</v>
      </c>
      <c r="D132" s="981" t="s">
        <v>43</v>
      </c>
      <c r="E132" s="981">
        <v>0</v>
      </c>
      <c r="F132" s="981">
        <v>0</v>
      </c>
      <c r="G132" s="981">
        <v>0</v>
      </c>
      <c r="H132" s="981">
        <v>0</v>
      </c>
    </row>
    <row r="133" spans="1:8" x14ac:dyDescent="0.25">
      <c r="A133" s="981" t="s">
        <v>259</v>
      </c>
      <c r="B133" s="981" t="s">
        <v>251</v>
      </c>
      <c r="C133" s="981" t="s">
        <v>288</v>
      </c>
      <c r="D133" s="981" t="s">
        <v>36</v>
      </c>
      <c r="E133" s="981">
        <v>4</v>
      </c>
      <c r="F133" s="981">
        <v>1</v>
      </c>
      <c r="G133" s="981"/>
      <c r="H133" s="981">
        <v>3</v>
      </c>
    </row>
    <row r="134" spans="1:8" x14ac:dyDescent="0.25">
      <c r="A134" s="981" t="s">
        <v>259</v>
      </c>
      <c r="B134" s="981" t="s">
        <v>251</v>
      </c>
      <c r="C134" s="981" t="s">
        <v>294</v>
      </c>
      <c r="D134" s="981" t="s">
        <v>44</v>
      </c>
      <c r="E134" s="981">
        <v>64</v>
      </c>
      <c r="F134" s="981">
        <v>7</v>
      </c>
      <c r="G134" s="981">
        <v>11</v>
      </c>
      <c r="H134" s="981">
        <v>46</v>
      </c>
    </row>
    <row r="135" spans="1:8" x14ac:dyDescent="0.25">
      <c r="A135" s="981" t="s">
        <v>259</v>
      </c>
      <c r="B135" s="981" t="s">
        <v>251</v>
      </c>
      <c r="C135" s="981" t="s">
        <v>298</v>
      </c>
      <c r="D135" s="981" t="s">
        <v>49</v>
      </c>
      <c r="E135" s="981">
        <v>23</v>
      </c>
      <c r="F135" s="981">
        <v>3</v>
      </c>
      <c r="G135" s="981">
        <v>3</v>
      </c>
      <c r="H135" s="981">
        <v>17</v>
      </c>
    </row>
    <row r="136" spans="1:8" x14ac:dyDescent="0.25">
      <c r="A136" s="981" t="s">
        <v>259</v>
      </c>
      <c r="B136" s="981" t="s">
        <v>251</v>
      </c>
      <c r="C136" s="981" t="s">
        <v>300</v>
      </c>
      <c r="D136" s="981" t="s">
        <v>52</v>
      </c>
      <c r="E136" s="981">
        <v>28</v>
      </c>
      <c r="F136" s="981"/>
      <c r="G136" s="981">
        <v>3</v>
      </c>
      <c r="H136" s="981">
        <v>25</v>
      </c>
    </row>
    <row r="137" spans="1:8" x14ac:dyDescent="0.25">
      <c r="A137" s="981" t="s">
        <v>259</v>
      </c>
      <c r="B137" s="981" t="s">
        <v>251</v>
      </c>
      <c r="C137" s="981" t="s">
        <v>304</v>
      </c>
      <c r="D137" s="981" t="s">
        <v>57</v>
      </c>
      <c r="E137" s="981">
        <v>2</v>
      </c>
      <c r="F137" s="981">
        <v>1</v>
      </c>
      <c r="G137" s="981"/>
      <c r="H137" s="981">
        <v>1</v>
      </c>
    </row>
    <row r="138" spans="1:8" x14ac:dyDescent="0.25">
      <c r="A138" s="981" t="s">
        <v>259</v>
      </c>
      <c r="B138" s="981" t="s">
        <v>251</v>
      </c>
      <c r="C138" s="981" t="s">
        <v>308</v>
      </c>
      <c r="D138" s="981" t="s">
        <v>34</v>
      </c>
      <c r="E138" s="981">
        <v>211</v>
      </c>
      <c r="F138" s="981">
        <v>25</v>
      </c>
      <c r="G138" s="981">
        <v>22</v>
      </c>
      <c r="H138" s="981">
        <v>164</v>
      </c>
    </row>
    <row r="139" spans="1:8" x14ac:dyDescent="0.25">
      <c r="A139" s="981" t="s">
        <v>258</v>
      </c>
      <c r="B139" s="981" t="s">
        <v>251</v>
      </c>
      <c r="C139" s="981" t="s">
        <v>288</v>
      </c>
      <c r="D139" s="981" t="s">
        <v>36</v>
      </c>
      <c r="E139" s="981">
        <v>6</v>
      </c>
      <c r="F139" s="981">
        <v>1</v>
      </c>
      <c r="G139" s="981"/>
      <c r="H139" s="981">
        <v>5</v>
      </c>
    </row>
    <row r="140" spans="1:8" x14ac:dyDescent="0.25">
      <c r="A140" s="981" t="s">
        <v>258</v>
      </c>
      <c r="B140" s="981" t="s">
        <v>251</v>
      </c>
      <c r="C140" s="981" t="s">
        <v>294</v>
      </c>
      <c r="D140" s="981" t="s">
        <v>44</v>
      </c>
      <c r="E140" s="981">
        <v>62</v>
      </c>
      <c r="F140" s="981">
        <v>7</v>
      </c>
      <c r="G140" s="981">
        <v>12</v>
      </c>
      <c r="H140" s="981">
        <v>43</v>
      </c>
    </row>
    <row r="141" spans="1:8" x14ac:dyDescent="0.25">
      <c r="A141" s="981" t="s">
        <v>258</v>
      </c>
      <c r="B141" s="981" t="s">
        <v>251</v>
      </c>
      <c r="C141" s="981" t="s">
        <v>298</v>
      </c>
      <c r="D141" s="981" t="s">
        <v>49</v>
      </c>
      <c r="E141" s="981">
        <v>22</v>
      </c>
      <c r="F141" s="981">
        <v>3</v>
      </c>
      <c r="G141" s="981">
        <v>3</v>
      </c>
      <c r="H141" s="981">
        <v>16</v>
      </c>
    </row>
    <row r="142" spans="1:8" x14ac:dyDescent="0.25">
      <c r="A142" s="981" t="s">
        <v>258</v>
      </c>
      <c r="B142" s="981" t="s">
        <v>251</v>
      </c>
      <c r="C142" s="981" t="s">
        <v>300</v>
      </c>
      <c r="D142" s="981" t="s">
        <v>52</v>
      </c>
      <c r="E142" s="981">
        <v>22</v>
      </c>
      <c r="F142" s="981"/>
      <c r="G142" s="981">
        <v>3</v>
      </c>
      <c r="H142" s="981">
        <v>19</v>
      </c>
    </row>
    <row r="143" spans="1:8" x14ac:dyDescent="0.25">
      <c r="A143" s="981" t="s">
        <v>258</v>
      </c>
      <c r="B143" s="981" t="s">
        <v>251</v>
      </c>
      <c r="C143" s="981" t="s">
        <v>304</v>
      </c>
      <c r="D143" s="981" t="s">
        <v>57</v>
      </c>
      <c r="E143" s="981">
        <v>2</v>
      </c>
      <c r="F143" s="981">
        <v>1</v>
      </c>
      <c r="G143" s="981"/>
      <c r="H143" s="981">
        <v>1</v>
      </c>
    </row>
    <row r="144" spans="1:8" x14ac:dyDescent="0.25">
      <c r="A144" s="981" t="s">
        <v>258</v>
      </c>
      <c r="B144" s="981" t="s">
        <v>251</v>
      </c>
      <c r="C144" s="981" t="s">
        <v>308</v>
      </c>
      <c r="D144" s="981" t="s">
        <v>34</v>
      </c>
      <c r="E144" s="981">
        <v>203</v>
      </c>
      <c r="F144" s="981">
        <v>25</v>
      </c>
      <c r="G144" s="981">
        <v>22</v>
      </c>
      <c r="H144" s="981">
        <v>156</v>
      </c>
    </row>
  </sheetData>
  <mergeCells count="1">
    <mergeCell ref="A2:B2"/>
  </mergeCells>
  <pageMargins left="0.7" right="0.7" top="0.75" bottom="0.75" header="0.3" footer="0.3"/>
  <pageSetup paperSize="9" fitToHeight="5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L340"/>
  <sheetViews>
    <sheetView zoomScale="85" zoomScaleNormal="85" workbookViewId="0">
      <pane ySplit="4" topLeftCell="A161" activePane="bottomLeft" state="frozen"/>
      <selection activeCell="A5" sqref="A5"/>
      <selection pane="bottomLeft" activeCell="E175" sqref="E175"/>
    </sheetView>
  </sheetViews>
  <sheetFormatPr defaultRowHeight="15" x14ac:dyDescent="0.25"/>
  <sheetData>
    <row r="1" spans="1:12" ht="15.75" x14ac:dyDescent="0.25">
      <c r="A1" s="982" t="s">
        <v>924</v>
      </c>
    </row>
    <row r="2" spans="1:12" x14ac:dyDescent="0.25">
      <c r="A2" s="1047">
        <v>43700</v>
      </c>
      <c r="B2" s="1048"/>
    </row>
    <row r="4" spans="1:12" x14ac:dyDescent="0.25">
      <c r="A4" s="980" t="s">
        <v>274</v>
      </c>
      <c r="B4" s="980" t="s">
        <v>894</v>
      </c>
      <c r="C4" s="980" t="s">
        <v>261</v>
      </c>
      <c r="D4" s="980" t="s">
        <v>916</v>
      </c>
      <c r="E4" s="980" t="s">
        <v>26</v>
      </c>
      <c r="F4" s="980" t="s">
        <v>18</v>
      </c>
      <c r="G4" s="980" t="s">
        <v>212</v>
      </c>
      <c r="H4" s="980" t="s">
        <v>22</v>
      </c>
      <c r="I4" s="980" t="s">
        <v>23</v>
      </c>
      <c r="J4" s="980" t="s">
        <v>19</v>
      </c>
      <c r="K4" s="980" t="s">
        <v>20</v>
      </c>
      <c r="L4" s="980" t="s">
        <v>21</v>
      </c>
    </row>
    <row r="5" spans="1:12" x14ac:dyDescent="0.25">
      <c r="A5" s="981" t="s">
        <v>207</v>
      </c>
      <c r="B5" s="981" t="s">
        <v>251</v>
      </c>
      <c r="C5" s="981"/>
      <c r="D5" s="981" t="s">
        <v>286</v>
      </c>
      <c r="E5" s="981">
        <v>3391.76</v>
      </c>
      <c r="F5" s="981">
        <v>0</v>
      </c>
      <c r="G5" s="981">
        <v>0</v>
      </c>
      <c r="H5" s="981">
        <v>608</v>
      </c>
      <c r="I5" s="981">
        <v>2354.7600000000002</v>
      </c>
      <c r="J5" s="981">
        <v>0</v>
      </c>
      <c r="K5" s="981">
        <v>13</v>
      </c>
      <c r="L5" s="981">
        <v>416</v>
      </c>
    </row>
    <row r="6" spans="1:12" x14ac:dyDescent="0.25">
      <c r="A6" s="981" t="s">
        <v>207</v>
      </c>
      <c r="B6" s="981" t="s">
        <v>251</v>
      </c>
      <c r="C6" s="981"/>
      <c r="D6" s="981" t="s">
        <v>35</v>
      </c>
      <c r="E6" s="981">
        <v>43</v>
      </c>
      <c r="F6" s="981">
        <v>0</v>
      </c>
      <c r="G6" s="981">
        <v>0</v>
      </c>
      <c r="H6" s="981">
        <v>9</v>
      </c>
      <c r="I6" s="981">
        <v>30</v>
      </c>
      <c r="J6" s="981">
        <v>0</v>
      </c>
      <c r="K6" s="981">
        <v>0</v>
      </c>
      <c r="L6" s="981">
        <v>4</v>
      </c>
    </row>
    <row r="7" spans="1:12" x14ac:dyDescent="0.25">
      <c r="A7" s="981" t="s">
        <v>207</v>
      </c>
      <c r="B7" s="981" t="s">
        <v>251</v>
      </c>
      <c r="C7" s="981"/>
      <c r="D7" s="981" t="s">
        <v>36</v>
      </c>
      <c r="E7" s="981">
        <v>69</v>
      </c>
      <c r="F7" s="981">
        <v>0</v>
      </c>
      <c r="G7" s="981">
        <v>0</v>
      </c>
      <c r="H7" s="981">
        <v>11</v>
      </c>
      <c r="I7" s="981">
        <v>53</v>
      </c>
      <c r="J7" s="981">
        <v>0</v>
      </c>
      <c r="K7" s="981">
        <v>0</v>
      </c>
      <c r="L7" s="981">
        <v>5</v>
      </c>
    </row>
    <row r="8" spans="1:12" x14ac:dyDescent="0.25">
      <c r="A8" s="981" t="s">
        <v>207</v>
      </c>
      <c r="B8" s="981" t="s">
        <v>251</v>
      </c>
      <c r="C8" s="981"/>
      <c r="D8" s="981" t="s">
        <v>38</v>
      </c>
      <c r="E8" s="981">
        <v>59</v>
      </c>
      <c r="F8" s="981">
        <v>0</v>
      </c>
      <c r="G8" s="981">
        <v>0</v>
      </c>
      <c r="H8" s="981">
        <v>11</v>
      </c>
      <c r="I8" s="981">
        <v>40</v>
      </c>
      <c r="J8" s="981">
        <v>0</v>
      </c>
      <c r="K8" s="981">
        <v>0</v>
      </c>
      <c r="L8" s="981">
        <v>8</v>
      </c>
    </row>
    <row r="9" spans="1:12" x14ac:dyDescent="0.25">
      <c r="A9" s="981" t="s">
        <v>207</v>
      </c>
      <c r="B9" s="981" t="s">
        <v>251</v>
      </c>
      <c r="C9" s="981"/>
      <c r="D9" s="981" t="s">
        <v>40</v>
      </c>
      <c r="E9" s="981">
        <v>29</v>
      </c>
      <c r="F9" s="981">
        <v>0</v>
      </c>
      <c r="G9" s="981">
        <v>0</v>
      </c>
      <c r="H9" s="981">
        <v>5</v>
      </c>
      <c r="I9" s="981">
        <v>21</v>
      </c>
      <c r="J9" s="981">
        <v>0</v>
      </c>
      <c r="K9" s="981">
        <v>0</v>
      </c>
      <c r="L9" s="981">
        <v>3</v>
      </c>
    </row>
    <row r="10" spans="1:12" x14ac:dyDescent="0.25">
      <c r="A10" s="981" t="s">
        <v>207</v>
      </c>
      <c r="B10" s="981" t="s">
        <v>251</v>
      </c>
      <c r="C10" s="981"/>
      <c r="D10" s="981" t="s">
        <v>41</v>
      </c>
      <c r="E10" s="981">
        <v>59</v>
      </c>
      <c r="F10" s="981">
        <v>0</v>
      </c>
      <c r="G10" s="981">
        <v>0</v>
      </c>
      <c r="H10" s="981">
        <v>14</v>
      </c>
      <c r="I10" s="981">
        <v>34</v>
      </c>
      <c r="J10" s="981">
        <v>0</v>
      </c>
      <c r="K10" s="981">
        <v>0</v>
      </c>
      <c r="L10" s="981">
        <v>11</v>
      </c>
    </row>
    <row r="11" spans="1:12" x14ac:dyDescent="0.25">
      <c r="A11" s="981" t="s">
        <v>207</v>
      </c>
      <c r="B11" s="981" t="s">
        <v>251</v>
      </c>
      <c r="C11" s="981"/>
      <c r="D11" s="981" t="s">
        <v>48</v>
      </c>
      <c r="E11" s="981">
        <v>0</v>
      </c>
      <c r="F11" s="981">
        <v>0</v>
      </c>
      <c r="G11" s="981">
        <v>0</v>
      </c>
      <c r="H11" s="981">
        <v>0</v>
      </c>
      <c r="I11" s="981">
        <v>0</v>
      </c>
      <c r="J11" s="981">
        <v>0</v>
      </c>
      <c r="K11" s="981">
        <v>0</v>
      </c>
      <c r="L11" s="981">
        <v>0</v>
      </c>
    </row>
    <row r="12" spans="1:12" x14ac:dyDescent="0.25">
      <c r="A12" s="981" t="s">
        <v>207</v>
      </c>
      <c r="B12" s="981" t="s">
        <v>251</v>
      </c>
      <c r="C12" s="981"/>
      <c r="D12" s="981" t="s">
        <v>42</v>
      </c>
      <c r="E12" s="981">
        <v>96</v>
      </c>
      <c r="F12" s="981">
        <v>0</v>
      </c>
      <c r="G12" s="981">
        <v>0</v>
      </c>
      <c r="H12" s="981">
        <v>18</v>
      </c>
      <c r="I12" s="981">
        <v>65</v>
      </c>
      <c r="J12" s="981">
        <v>0</v>
      </c>
      <c r="K12" s="981">
        <v>1</v>
      </c>
      <c r="L12" s="981">
        <v>12</v>
      </c>
    </row>
    <row r="13" spans="1:12" x14ac:dyDescent="0.25">
      <c r="A13" s="981" t="s">
        <v>207</v>
      </c>
      <c r="B13" s="981" t="s">
        <v>251</v>
      </c>
      <c r="C13" s="981"/>
      <c r="D13" s="981" t="s">
        <v>44</v>
      </c>
      <c r="E13" s="981">
        <v>81</v>
      </c>
      <c r="F13" s="981">
        <v>0</v>
      </c>
      <c r="G13" s="981">
        <v>0</v>
      </c>
      <c r="H13" s="981">
        <v>9</v>
      </c>
      <c r="I13" s="981">
        <v>60</v>
      </c>
      <c r="J13" s="981">
        <v>0</v>
      </c>
      <c r="K13" s="981">
        <v>2</v>
      </c>
      <c r="L13" s="981">
        <v>10</v>
      </c>
    </row>
    <row r="14" spans="1:12" x14ac:dyDescent="0.25">
      <c r="A14" s="981" t="s">
        <v>207</v>
      </c>
      <c r="B14" s="981" t="s">
        <v>251</v>
      </c>
      <c r="C14" s="981"/>
      <c r="D14" s="981" t="s">
        <v>45</v>
      </c>
      <c r="E14" s="981">
        <v>78</v>
      </c>
      <c r="F14" s="981">
        <v>0</v>
      </c>
      <c r="G14" s="981">
        <v>0</v>
      </c>
      <c r="H14" s="981">
        <v>18</v>
      </c>
      <c r="I14" s="981">
        <v>49</v>
      </c>
      <c r="J14" s="981">
        <v>0</v>
      </c>
      <c r="K14" s="981">
        <v>0</v>
      </c>
      <c r="L14" s="981">
        <v>11</v>
      </c>
    </row>
    <row r="15" spans="1:12" x14ac:dyDescent="0.25">
      <c r="A15" s="981" t="s">
        <v>207</v>
      </c>
      <c r="B15" s="981" t="s">
        <v>251</v>
      </c>
      <c r="C15" s="981"/>
      <c r="D15" s="981" t="s">
        <v>46</v>
      </c>
      <c r="E15" s="981">
        <v>35</v>
      </c>
      <c r="F15" s="981">
        <v>0</v>
      </c>
      <c r="G15" s="981">
        <v>0</v>
      </c>
      <c r="H15" s="981">
        <v>4</v>
      </c>
      <c r="I15" s="981">
        <v>26</v>
      </c>
      <c r="J15" s="981">
        <v>0</v>
      </c>
      <c r="K15" s="981">
        <v>0</v>
      </c>
      <c r="L15" s="981">
        <v>5</v>
      </c>
    </row>
    <row r="16" spans="1:12" x14ac:dyDescent="0.25">
      <c r="A16" s="981" t="s">
        <v>207</v>
      </c>
      <c r="B16" s="981" t="s">
        <v>251</v>
      </c>
      <c r="C16" s="981"/>
      <c r="D16" s="981" t="s">
        <v>47</v>
      </c>
      <c r="E16" s="981">
        <v>20</v>
      </c>
      <c r="F16" s="981">
        <v>0</v>
      </c>
      <c r="G16" s="981">
        <v>0</v>
      </c>
      <c r="H16" s="981">
        <v>2</v>
      </c>
      <c r="I16" s="981">
        <v>15</v>
      </c>
      <c r="J16" s="981">
        <v>0</v>
      </c>
      <c r="K16" s="981">
        <v>0</v>
      </c>
      <c r="L16" s="981">
        <v>3</v>
      </c>
    </row>
    <row r="17" spans="1:12" x14ac:dyDescent="0.25">
      <c r="A17" s="981" t="s">
        <v>207</v>
      </c>
      <c r="B17" s="981" t="s">
        <v>251</v>
      </c>
      <c r="C17" s="981"/>
      <c r="D17" s="981" t="s">
        <v>49</v>
      </c>
      <c r="E17" s="981">
        <v>76</v>
      </c>
      <c r="F17" s="981">
        <v>0</v>
      </c>
      <c r="G17" s="981">
        <v>0</v>
      </c>
      <c r="H17" s="981">
        <v>13</v>
      </c>
      <c r="I17" s="981">
        <v>50</v>
      </c>
      <c r="J17" s="981">
        <v>0</v>
      </c>
      <c r="K17" s="981">
        <v>0</v>
      </c>
      <c r="L17" s="981">
        <v>13</v>
      </c>
    </row>
    <row r="18" spans="1:12" x14ac:dyDescent="0.25">
      <c r="A18" s="981" t="s">
        <v>207</v>
      </c>
      <c r="B18" s="981" t="s">
        <v>251</v>
      </c>
      <c r="C18" s="981"/>
      <c r="D18" s="981" t="s">
        <v>51</v>
      </c>
      <c r="E18" s="981">
        <v>0</v>
      </c>
      <c r="F18" s="981">
        <v>0</v>
      </c>
      <c r="G18" s="981">
        <v>0</v>
      </c>
      <c r="H18" s="981">
        <v>0</v>
      </c>
      <c r="I18" s="981">
        <v>0</v>
      </c>
      <c r="J18" s="981">
        <v>0</v>
      </c>
      <c r="K18" s="981">
        <v>0</v>
      </c>
      <c r="L18" s="981">
        <v>0</v>
      </c>
    </row>
    <row r="19" spans="1:12" x14ac:dyDescent="0.25">
      <c r="A19" s="981" t="s">
        <v>207</v>
      </c>
      <c r="B19" s="981" t="s">
        <v>251</v>
      </c>
      <c r="C19" s="981"/>
      <c r="D19" s="981" t="s">
        <v>52</v>
      </c>
      <c r="E19" s="981">
        <v>88</v>
      </c>
      <c r="F19" s="981">
        <v>0</v>
      </c>
      <c r="G19" s="981">
        <v>0</v>
      </c>
      <c r="H19" s="981">
        <v>14</v>
      </c>
      <c r="I19" s="981">
        <v>61</v>
      </c>
      <c r="J19" s="981">
        <v>0</v>
      </c>
      <c r="K19" s="981">
        <v>2</v>
      </c>
      <c r="L19" s="981">
        <v>11</v>
      </c>
    </row>
    <row r="20" spans="1:12" x14ac:dyDescent="0.25">
      <c r="A20" s="981" t="s">
        <v>207</v>
      </c>
      <c r="B20" s="981" t="s">
        <v>251</v>
      </c>
      <c r="C20" s="981"/>
      <c r="D20" s="981" t="s">
        <v>54</v>
      </c>
      <c r="E20" s="981">
        <v>75</v>
      </c>
      <c r="F20" s="981">
        <v>0</v>
      </c>
      <c r="G20" s="981">
        <v>0</v>
      </c>
      <c r="H20" s="981">
        <v>11</v>
      </c>
      <c r="I20" s="981">
        <v>54</v>
      </c>
      <c r="J20" s="981">
        <v>0</v>
      </c>
      <c r="K20" s="981">
        <v>0</v>
      </c>
      <c r="L20" s="981">
        <v>10</v>
      </c>
    </row>
    <row r="21" spans="1:12" x14ac:dyDescent="0.25">
      <c r="A21" s="981" t="s">
        <v>207</v>
      </c>
      <c r="B21" s="981" t="s">
        <v>251</v>
      </c>
      <c r="C21" s="981"/>
      <c r="D21" s="981" t="s">
        <v>55</v>
      </c>
      <c r="E21" s="981">
        <v>0</v>
      </c>
      <c r="F21" s="981">
        <v>0</v>
      </c>
      <c r="G21" s="981">
        <v>0</v>
      </c>
      <c r="H21" s="981">
        <v>0</v>
      </c>
      <c r="I21" s="981">
        <v>0</v>
      </c>
      <c r="J21" s="981">
        <v>0</v>
      </c>
      <c r="K21" s="981">
        <v>0</v>
      </c>
      <c r="L21" s="981">
        <v>0</v>
      </c>
    </row>
    <row r="22" spans="1:12" x14ac:dyDescent="0.25">
      <c r="A22" s="981" t="s">
        <v>207</v>
      </c>
      <c r="B22" s="981" t="s">
        <v>251</v>
      </c>
      <c r="C22" s="981"/>
      <c r="D22" s="981" t="s">
        <v>56</v>
      </c>
      <c r="E22" s="981">
        <v>65</v>
      </c>
      <c r="F22" s="981">
        <v>0</v>
      </c>
      <c r="G22" s="981">
        <v>0</v>
      </c>
      <c r="H22" s="981">
        <v>10</v>
      </c>
      <c r="I22" s="981">
        <v>47</v>
      </c>
      <c r="J22" s="981">
        <v>0</v>
      </c>
      <c r="K22" s="981">
        <v>0</v>
      </c>
      <c r="L22" s="981">
        <v>8</v>
      </c>
    </row>
    <row r="23" spans="1:12" x14ac:dyDescent="0.25">
      <c r="A23" s="981" t="s">
        <v>207</v>
      </c>
      <c r="B23" s="981" t="s">
        <v>251</v>
      </c>
      <c r="C23" s="981"/>
      <c r="D23" s="981" t="s">
        <v>57</v>
      </c>
      <c r="E23" s="981">
        <v>190</v>
      </c>
      <c r="F23" s="981">
        <v>0</v>
      </c>
      <c r="G23" s="981">
        <v>0</v>
      </c>
      <c r="H23" s="981">
        <v>33</v>
      </c>
      <c r="I23" s="981">
        <v>129</v>
      </c>
      <c r="J23" s="981">
        <v>0</v>
      </c>
      <c r="K23" s="981">
        <v>2</v>
      </c>
      <c r="L23" s="981">
        <v>26</v>
      </c>
    </row>
    <row r="24" spans="1:12" x14ac:dyDescent="0.25">
      <c r="A24" s="981" t="s">
        <v>207</v>
      </c>
      <c r="B24" s="981" t="s">
        <v>251</v>
      </c>
      <c r="C24" s="981"/>
      <c r="D24" s="981" t="s">
        <v>58</v>
      </c>
      <c r="E24" s="981">
        <v>61.76</v>
      </c>
      <c r="F24" s="981">
        <v>0</v>
      </c>
      <c r="G24" s="981">
        <v>0</v>
      </c>
      <c r="H24" s="981">
        <v>10</v>
      </c>
      <c r="I24" s="981">
        <v>41.76</v>
      </c>
      <c r="J24" s="981">
        <v>0</v>
      </c>
      <c r="K24" s="981">
        <v>0</v>
      </c>
      <c r="L24" s="981">
        <v>10</v>
      </c>
    </row>
    <row r="25" spans="1:12" x14ac:dyDescent="0.25">
      <c r="A25" s="981" t="s">
        <v>207</v>
      </c>
      <c r="B25" s="981" t="s">
        <v>251</v>
      </c>
      <c r="C25" s="981"/>
      <c r="D25" s="981" t="s">
        <v>31</v>
      </c>
      <c r="E25" s="981">
        <v>174</v>
      </c>
      <c r="F25" s="981">
        <v>0</v>
      </c>
      <c r="G25" s="981">
        <v>0</v>
      </c>
      <c r="H25" s="981">
        <v>24</v>
      </c>
      <c r="I25" s="981">
        <v>128</v>
      </c>
      <c r="J25" s="981">
        <v>0</v>
      </c>
      <c r="K25" s="981">
        <v>0</v>
      </c>
      <c r="L25" s="981">
        <v>22</v>
      </c>
    </row>
    <row r="26" spans="1:12" x14ac:dyDescent="0.25">
      <c r="A26" s="981" t="s">
        <v>207</v>
      </c>
      <c r="B26" s="981" t="s">
        <v>251</v>
      </c>
      <c r="C26" s="981"/>
      <c r="D26" s="981" t="s">
        <v>32</v>
      </c>
      <c r="E26" s="981">
        <v>23</v>
      </c>
      <c r="F26" s="981">
        <v>0</v>
      </c>
      <c r="G26" s="981">
        <v>0</v>
      </c>
      <c r="H26" s="981">
        <v>3</v>
      </c>
      <c r="I26" s="981">
        <v>16</v>
      </c>
      <c r="J26" s="981">
        <v>0</v>
      </c>
      <c r="K26" s="981">
        <v>0</v>
      </c>
      <c r="L26" s="981">
        <v>4</v>
      </c>
    </row>
    <row r="27" spans="1:12" x14ac:dyDescent="0.25">
      <c r="A27" s="981" t="s">
        <v>207</v>
      </c>
      <c r="B27" s="981" t="s">
        <v>251</v>
      </c>
      <c r="C27" s="981"/>
      <c r="D27" s="981" t="s">
        <v>34</v>
      </c>
      <c r="E27" s="981">
        <v>58</v>
      </c>
      <c r="F27" s="981">
        <v>0</v>
      </c>
      <c r="G27" s="981">
        <v>0</v>
      </c>
      <c r="H27" s="981">
        <v>10</v>
      </c>
      <c r="I27" s="981">
        <v>31</v>
      </c>
      <c r="J27" s="981">
        <v>0</v>
      </c>
      <c r="K27" s="981">
        <v>2</v>
      </c>
      <c r="L27" s="981">
        <v>15</v>
      </c>
    </row>
    <row r="28" spans="1:12" x14ac:dyDescent="0.25">
      <c r="A28" s="981" t="s">
        <v>207</v>
      </c>
      <c r="B28" s="981" t="s">
        <v>251</v>
      </c>
      <c r="C28" s="981"/>
      <c r="D28" s="981" t="s">
        <v>262</v>
      </c>
      <c r="E28" s="981">
        <v>370</v>
      </c>
      <c r="F28" s="981">
        <v>0</v>
      </c>
      <c r="G28" s="981">
        <v>0</v>
      </c>
      <c r="H28" s="981">
        <v>70</v>
      </c>
      <c r="I28" s="981">
        <v>275</v>
      </c>
      <c r="J28" s="981">
        <v>0</v>
      </c>
      <c r="K28" s="981">
        <v>0</v>
      </c>
      <c r="L28" s="981">
        <v>25</v>
      </c>
    </row>
    <row r="29" spans="1:12" x14ac:dyDescent="0.25">
      <c r="A29" s="981" t="s">
        <v>207</v>
      </c>
      <c r="B29" s="981" t="s">
        <v>251</v>
      </c>
      <c r="C29" s="981"/>
      <c r="D29" s="981" t="s">
        <v>53</v>
      </c>
      <c r="E29" s="981">
        <v>116</v>
      </c>
      <c r="F29" s="981">
        <v>0</v>
      </c>
      <c r="G29" s="981">
        <v>0</v>
      </c>
      <c r="H29" s="981">
        <v>22</v>
      </c>
      <c r="I29" s="981">
        <v>74</v>
      </c>
      <c r="J29" s="981">
        <v>0</v>
      </c>
      <c r="K29" s="981">
        <v>1</v>
      </c>
      <c r="L29" s="981">
        <v>19</v>
      </c>
    </row>
    <row r="30" spans="1:12" x14ac:dyDescent="0.25">
      <c r="A30" s="981" t="s">
        <v>207</v>
      </c>
      <c r="B30" s="981" t="s">
        <v>251</v>
      </c>
      <c r="C30" s="981"/>
      <c r="D30" s="981" t="s">
        <v>59</v>
      </c>
      <c r="E30" s="981">
        <v>80</v>
      </c>
      <c r="F30" s="981">
        <v>0</v>
      </c>
      <c r="G30" s="981">
        <v>0</v>
      </c>
      <c r="H30" s="981">
        <v>18</v>
      </c>
      <c r="I30" s="981">
        <v>52</v>
      </c>
      <c r="J30" s="981">
        <v>0</v>
      </c>
      <c r="K30" s="981">
        <v>0</v>
      </c>
      <c r="L30" s="981">
        <v>10</v>
      </c>
    </row>
    <row r="31" spans="1:12" x14ac:dyDescent="0.25">
      <c r="A31" s="981" t="s">
        <v>207</v>
      </c>
      <c r="B31" s="981" t="s">
        <v>251</v>
      </c>
      <c r="C31" s="981"/>
      <c r="D31" s="981" t="s">
        <v>60</v>
      </c>
      <c r="E31" s="981">
        <v>85</v>
      </c>
      <c r="F31" s="981">
        <v>0</v>
      </c>
      <c r="G31" s="981">
        <v>0</v>
      </c>
      <c r="H31" s="981">
        <v>14</v>
      </c>
      <c r="I31" s="981">
        <v>61</v>
      </c>
      <c r="J31" s="981">
        <v>0</v>
      </c>
      <c r="K31" s="981">
        <v>0</v>
      </c>
      <c r="L31" s="981">
        <v>10</v>
      </c>
    </row>
    <row r="32" spans="1:12" x14ac:dyDescent="0.25">
      <c r="A32" s="981" t="s">
        <v>207</v>
      </c>
      <c r="B32" s="981" t="s">
        <v>251</v>
      </c>
      <c r="C32" s="981"/>
      <c r="D32" s="981" t="s">
        <v>33</v>
      </c>
      <c r="E32" s="981">
        <v>35</v>
      </c>
      <c r="F32" s="981">
        <v>0</v>
      </c>
      <c r="G32" s="981">
        <v>0</v>
      </c>
      <c r="H32" s="981">
        <v>0</v>
      </c>
      <c r="I32" s="981">
        <v>25</v>
      </c>
      <c r="J32" s="981">
        <v>0</v>
      </c>
      <c r="K32" s="981">
        <v>1</v>
      </c>
      <c r="L32" s="981">
        <v>9</v>
      </c>
    </row>
    <row r="33" spans="1:12" x14ac:dyDescent="0.25">
      <c r="A33" s="981" t="s">
        <v>207</v>
      </c>
      <c r="B33" s="981" t="s">
        <v>251</v>
      </c>
      <c r="C33" s="981"/>
      <c r="D33" s="981" t="s">
        <v>37</v>
      </c>
      <c r="E33" s="981">
        <v>215</v>
      </c>
      <c r="F33" s="981">
        <v>0</v>
      </c>
      <c r="G33" s="981">
        <v>0</v>
      </c>
      <c r="H33" s="981">
        <v>29</v>
      </c>
      <c r="I33" s="981">
        <v>162</v>
      </c>
      <c r="J33" s="981">
        <v>0</v>
      </c>
      <c r="K33" s="981">
        <v>1</v>
      </c>
      <c r="L33" s="981">
        <v>23</v>
      </c>
    </row>
    <row r="34" spans="1:12" x14ac:dyDescent="0.25">
      <c r="A34" s="981" t="s">
        <v>207</v>
      </c>
      <c r="B34" s="981" t="s">
        <v>251</v>
      </c>
      <c r="C34" s="981"/>
      <c r="D34" s="981" t="s">
        <v>50</v>
      </c>
      <c r="E34" s="981">
        <v>188</v>
      </c>
      <c r="F34" s="981">
        <v>0</v>
      </c>
      <c r="G34" s="981">
        <v>0</v>
      </c>
      <c r="H34" s="981">
        <v>34</v>
      </c>
      <c r="I34" s="981">
        <v>129</v>
      </c>
      <c r="J34" s="981">
        <v>0</v>
      </c>
      <c r="K34" s="981">
        <v>1</v>
      </c>
      <c r="L34" s="981">
        <v>24</v>
      </c>
    </row>
    <row r="35" spans="1:12" x14ac:dyDescent="0.25">
      <c r="A35" s="981" t="s">
        <v>207</v>
      </c>
      <c r="B35" s="981" t="s">
        <v>251</v>
      </c>
      <c r="C35" s="981"/>
      <c r="D35" s="981" t="s">
        <v>39</v>
      </c>
      <c r="E35" s="981">
        <v>74</v>
      </c>
      <c r="F35" s="981">
        <v>0</v>
      </c>
      <c r="G35" s="981">
        <v>0</v>
      </c>
      <c r="H35" s="981">
        <v>15</v>
      </c>
      <c r="I35" s="981">
        <v>45</v>
      </c>
      <c r="J35" s="981">
        <v>0</v>
      </c>
      <c r="K35" s="981">
        <v>0</v>
      </c>
      <c r="L35" s="981">
        <v>14</v>
      </c>
    </row>
    <row r="36" spans="1:12" x14ac:dyDescent="0.25">
      <c r="A36" s="981" t="s">
        <v>207</v>
      </c>
      <c r="B36" s="981" t="s">
        <v>251</v>
      </c>
      <c r="C36" s="981"/>
      <c r="D36" s="981" t="s">
        <v>124</v>
      </c>
      <c r="E36" s="981">
        <v>560</v>
      </c>
      <c r="F36" s="981">
        <v>0</v>
      </c>
      <c r="G36" s="981">
        <v>0</v>
      </c>
      <c r="H36" s="981">
        <v>119</v>
      </c>
      <c r="I36" s="981">
        <v>373</v>
      </c>
      <c r="J36" s="981">
        <v>0</v>
      </c>
      <c r="K36" s="981">
        <v>0</v>
      </c>
      <c r="L36" s="981">
        <v>68</v>
      </c>
    </row>
    <row r="37" spans="1:12" x14ac:dyDescent="0.25">
      <c r="A37" s="981" t="s">
        <v>207</v>
      </c>
      <c r="B37" s="981" t="s">
        <v>251</v>
      </c>
      <c r="C37" s="981"/>
      <c r="D37" s="981" t="s">
        <v>43</v>
      </c>
      <c r="E37" s="981">
        <v>289</v>
      </c>
      <c r="F37" s="981">
        <v>0</v>
      </c>
      <c r="G37" s="981">
        <v>0</v>
      </c>
      <c r="H37" s="981">
        <v>58</v>
      </c>
      <c r="I37" s="981">
        <v>208</v>
      </c>
      <c r="J37" s="981">
        <v>0</v>
      </c>
      <c r="K37" s="981">
        <v>0</v>
      </c>
      <c r="L37" s="981">
        <v>23</v>
      </c>
    </row>
    <row r="38" spans="1:12" x14ac:dyDescent="0.25">
      <c r="A38" s="981" t="s">
        <v>207</v>
      </c>
      <c r="B38" s="981" t="s">
        <v>252</v>
      </c>
      <c r="C38" s="981"/>
      <c r="D38" s="981" t="s">
        <v>286</v>
      </c>
      <c r="E38" s="981">
        <v>285</v>
      </c>
      <c r="F38" s="981">
        <v>17</v>
      </c>
      <c r="G38" s="981">
        <v>0</v>
      </c>
      <c r="H38" s="981">
        <v>5</v>
      </c>
      <c r="I38" s="981">
        <v>15</v>
      </c>
      <c r="J38" s="981">
        <v>69</v>
      </c>
      <c r="K38" s="981">
        <v>85</v>
      </c>
      <c r="L38" s="981">
        <v>94</v>
      </c>
    </row>
    <row r="39" spans="1:12" x14ac:dyDescent="0.25">
      <c r="A39" s="981" t="s">
        <v>207</v>
      </c>
      <c r="B39" s="981" t="s">
        <v>252</v>
      </c>
      <c r="C39" s="981"/>
      <c r="D39" s="981" t="s">
        <v>31</v>
      </c>
      <c r="E39" s="981">
        <v>23</v>
      </c>
      <c r="F39" s="981">
        <v>1</v>
      </c>
      <c r="G39" s="981">
        <v>0</v>
      </c>
      <c r="H39" s="981">
        <v>0</v>
      </c>
      <c r="I39" s="981">
        <v>1</v>
      </c>
      <c r="J39" s="981">
        <v>7</v>
      </c>
      <c r="K39" s="981">
        <v>6</v>
      </c>
      <c r="L39" s="981">
        <v>8</v>
      </c>
    </row>
    <row r="40" spans="1:12" x14ac:dyDescent="0.25">
      <c r="A40" s="981" t="s">
        <v>207</v>
      </c>
      <c r="B40" s="981" t="s">
        <v>252</v>
      </c>
      <c r="C40" s="981"/>
      <c r="D40" s="981" t="s">
        <v>64</v>
      </c>
      <c r="E40" s="981">
        <v>15</v>
      </c>
      <c r="F40" s="981">
        <v>1</v>
      </c>
      <c r="G40" s="981">
        <v>0</v>
      </c>
      <c r="H40" s="981">
        <v>0</v>
      </c>
      <c r="I40" s="981">
        <v>0</v>
      </c>
      <c r="J40" s="981">
        <v>2</v>
      </c>
      <c r="K40" s="981">
        <v>4</v>
      </c>
      <c r="L40" s="981">
        <v>8</v>
      </c>
    </row>
    <row r="41" spans="1:12" x14ac:dyDescent="0.25">
      <c r="A41" s="981" t="s">
        <v>207</v>
      </c>
      <c r="B41" s="981" t="s">
        <v>252</v>
      </c>
      <c r="C41" s="981"/>
      <c r="D41" s="981" t="s">
        <v>65</v>
      </c>
      <c r="E41" s="981">
        <v>22</v>
      </c>
      <c r="F41" s="981">
        <v>1</v>
      </c>
      <c r="G41" s="981">
        <v>0</v>
      </c>
      <c r="H41" s="981">
        <v>1</v>
      </c>
      <c r="I41" s="981">
        <v>1</v>
      </c>
      <c r="J41" s="981">
        <v>3</v>
      </c>
      <c r="K41" s="981">
        <v>6</v>
      </c>
      <c r="L41" s="981">
        <v>10</v>
      </c>
    </row>
    <row r="42" spans="1:12" x14ac:dyDescent="0.25">
      <c r="A42" s="981" t="s">
        <v>207</v>
      </c>
      <c r="B42" s="981" t="s">
        <v>252</v>
      </c>
      <c r="C42" s="981"/>
      <c r="D42" s="981" t="s">
        <v>36</v>
      </c>
      <c r="E42" s="981">
        <v>16</v>
      </c>
      <c r="F42" s="981">
        <v>0</v>
      </c>
      <c r="G42" s="981">
        <v>0</v>
      </c>
      <c r="H42" s="981">
        <v>0</v>
      </c>
      <c r="I42" s="981">
        <v>0</v>
      </c>
      <c r="J42" s="981">
        <v>2</v>
      </c>
      <c r="K42" s="981">
        <v>5</v>
      </c>
      <c r="L42" s="981">
        <v>9</v>
      </c>
    </row>
    <row r="43" spans="1:12" x14ac:dyDescent="0.25">
      <c r="A43" s="981" t="s">
        <v>207</v>
      </c>
      <c r="B43" s="981" t="s">
        <v>252</v>
      </c>
      <c r="C43" s="981"/>
      <c r="D43" s="981" t="s">
        <v>68</v>
      </c>
      <c r="E43" s="981">
        <v>21</v>
      </c>
      <c r="F43" s="981">
        <v>1</v>
      </c>
      <c r="G43" s="981">
        <v>0</v>
      </c>
      <c r="H43" s="981">
        <v>0</v>
      </c>
      <c r="I43" s="981">
        <v>5</v>
      </c>
      <c r="J43" s="981">
        <v>7</v>
      </c>
      <c r="K43" s="981">
        <v>0</v>
      </c>
      <c r="L43" s="981">
        <v>8</v>
      </c>
    </row>
    <row r="44" spans="1:12" x14ac:dyDescent="0.25">
      <c r="A44" s="981" t="s">
        <v>207</v>
      </c>
      <c r="B44" s="981" t="s">
        <v>252</v>
      </c>
      <c r="C44" s="981"/>
      <c r="D44" s="981" t="s">
        <v>69</v>
      </c>
      <c r="E44" s="981">
        <v>12</v>
      </c>
      <c r="F44" s="981">
        <v>1</v>
      </c>
      <c r="G44" s="981">
        <v>0</v>
      </c>
      <c r="H44" s="981">
        <v>0</v>
      </c>
      <c r="I44" s="981">
        <v>1</v>
      </c>
      <c r="J44" s="981">
        <v>3</v>
      </c>
      <c r="K44" s="981">
        <v>5</v>
      </c>
      <c r="L44" s="981">
        <v>2</v>
      </c>
    </row>
    <row r="45" spans="1:12" x14ac:dyDescent="0.25">
      <c r="A45" s="981" t="s">
        <v>207</v>
      </c>
      <c r="B45" s="981" t="s">
        <v>252</v>
      </c>
      <c r="C45" s="981"/>
      <c r="D45" s="981" t="s">
        <v>70</v>
      </c>
      <c r="E45" s="981">
        <v>23</v>
      </c>
      <c r="F45" s="981">
        <v>1</v>
      </c>
      <c r="G45" s="981">
        <v>0</v>
      </c>
      <c r="H45" s="981">
        <v>0</v>
      </c>
      <c r="I45" s="981">
        <v>0</v>
      </c>
      <c r="J45" s="981">
        <v>9</v>
      </c>
      <c r="K45" s="981">
        <v>7</v>
      </c>
      <c r="L45" s="981">
        <v>6</v>
      </c>
    </row>
    <row r="46" spans="1:12" x14ac:dyDescent="0.25">
      <c r="A46" s="981" t="s">
        <v>207</v>
      </c>
      <c r="B46" s="981" t="s">
        <v>252</v>
      </c>
      <c r="C46" s="981"/>
      <c r="D46" s="981" t="s">
        <v>178</v>
      </c>
      <c r="E46" s="981">
        <v>26</v>
      </c>
      <c r="F46" s="981">
        <v>2</v>
      </c>
      <c r="G46" s="981">
        <v>0</v>
      </c>
      <c r="H46" s="981">
        <v>3</v>
      </c>
      <c r="I46" s="981">
        <v>2</v>
      </c>
      <c r="J46" s="981">
        <v>9</v>
      </c>
      <c r="K46" s="981">
        <v>3</v>
      </c>
      <c r="L46" s="981">
        <v>7</v>
      </c>
    </row>
    <row r="47" spans="1:12" x14ac:dyDescent="0.25">
      <c r="A47" s="981" t="s">
        <v>207</v>
      </c>
      <c r="B47" s="981" t="s">
        <v>252</v>
      </c>
      <c r="C47" s="981"/>
      <c r="D47" s="981" t="s">
        <v>71</v>
      </c>
      <c r="E47" s="981">
        <v>13</v>
      </c>
      <c r="F47" s="981">
        <v>1</v>
      </c>
      <c r="G47" s="981">
        <v>0</v>
      </c>
      <c r="H47" s="981">
        <v>0</v>
      </c>
      <c r="I47" s="981">
        <v>2</v>
      </c>
      <c r="J47" s="981">
        <v>2</v>
      </c>
      <c r="K47" s="981">
        <v>2</v>
      </c>
      <c r="L47" s="981">
        <v>6</v>
      </c>
    </row>
    <row r="48" spans="1:12" x14ac:dyDescent="0.25">
      <c r="A48" s="981" t="s">
        <v>207</v>
      </c>
      <c r="B48" s="981" t="s">
        <v>252</v>
      </c>
      <c r="C48" s="981"/>
      <c r="D48" s="981" t="s">
        <v>124</v>
      </c>
      <c r="E48" s="981">
        <v>28</v>
      </c>
      <c r="F48" s="981">
        <v>1</v>
      </c>
      <c r="G48" s="981">
        <v>0</v>
      </c>
      <c r="H48" s="981">
        <v>0</v>
      </c>
      <c r="I48" s="981">
        <v>3</v>
      </c>
      <c r="J48" s="981">
        <v>4</v>
      </c>
      <c r="K48" s="981">
        <v>10</v>
      </c>
      <c r="L48" s="981">
        <v>10</v>
      </c>
    </row>
    <row r="49" spans="1:12" x14ac:dyDescent="0.25">
      <c r="A49" s="981" t="s">
        <v>207</v>
      </c>
      <c r="B49" s="981" t="s">
        <v>252</v>
      </c>
      <c r="C49" s="981"/>
      <c r="D49" s="981" t="s">
        <v>72</v>
      </c>
      <c r="E49" s="981">
        <v>13</v>
      </c>
      <c r="F49" s="981">
        <v>1</v>
      </c>
      <c r="G49" s="981">
        <v>0</v>
      </c>
      <c r="H49" s="981">
        <v>0</v>
      </c>
      <c r="I49" s="981">
        <v>0</v>
      </c>
      <c r="J49" s="981">
        <v>4</v>
      </c>
      <c r="K49" s="981">
        <v>7</v>
      </c>
      <c r="L49" s="981">
        <v>1</v>
      </c>
    </row>
    <row r="50" spans="1:12" x14ac:dyDescent="0.25">
      <c r="A50" s="981" t="s">
        <v>207</v>
      </c>
      <c r="B50" s="981" t="s">
        <v>252</v>
      </c>
      <c r="C50" s="981"/>
      <c r="D50" s="981" t="s">
        <v>50</v>
      </c>
      <c r="E50" s="981">
        <v>14</v>
      </c>
      <c r="F50" s="981">
        <v>1</v>
      </c>
      <c r="G50" s="981">
        <v>0</v>
      </c>
      <c r="H50" s="981">
        <v>1</v>
      </c>
      <c r="I50" s="981">
        <v>0</v>
      </c>
      <c r="J50" s="981">
        <v>2</v>
      </c>
      <c r="K50" s="981">
        <v>6</v>
      </c>
      <c r="L50" s="981">
        <v>4</v>
      </c>
    </row>
    <row r="51" spans="1:12" x14ac:dyDescent="0.25">
      <c r="A51" s="981" t="s">
        <v>207</v>
      </c>
      <c r="B51" s="981" t="s">
        <v>252</v>
      </c>
      <c r="C51" s="981"/>
      <c r="D51" s="981" t="s">
        <v>57</v>
      </c>
      <c r="E51" s="981">
        <v>10</v>
      </c>
      <c r="F51" s="981">
        <v>1</v>
      </c>
      <c r="G51" s="981">
        <v>0</v>
      </c>
      <c r="H51" s="981">
        <v>0</v>
      </c>
      <c r="I51" s="981">
        <v>0</v>
      </c>
      <c r="J51" s="981">
        <v>3</v>
      </c>
      <c r="K51" s="981">
        <v>4</v>
      </c>
      <c r="L51" s="981">
        <v>2</v>
      </c>
    </row>
    <row r="52" spans="1:12" x14ac:dyDescent="0.25">
      <c r="A52" s="981" t="s">
        <v>207</v>
      </c>
      <c r="B52" s="981" t="s">
        <v>252</v>
      </c>
      <c r="C52" s="981"/>
      <c r="D52" s="981" t="s">
        <v>73</v>
      </c>
      <c r="E52" s="981">
        <v>8</v>
      </c>
      <c r="F52" s="981">
        <v>1</v>
      </c>
      <c r="G52" s="981">
        <v>0</v>
      </c>
      <c r="H52" s="981">
        <v>0</v>
      </c>
      <c r="I52" s="981">
        <v>0</v>
      </c>
      <c r="J52" s="981">
        <v>3</v>
      </c>
      <c r="K52" s="981">
        <v>4</v>
      </c>
      <c r="L52" s="981">
        <v>0</v>
      </c>
    </row>
    <row r="53" spans="1:12" x14ac:dyDescent="0.25">
      <c r="A53" s="981" t="s">
        <v>207</v>
      </c>
      <c r="B53" s="981" t="s">
        <v>252</v>
      </c>
      <c r="C53" s="981"/>
      <c r="D53" s="981" t="s">
        <v>74</v>
      </c>
      <c r="E53" s="981">
        <v>9</v>
      </c>
      <c r="F53" s="981">
        <v>1</v>
      </c>
      <c r="G53" s="981">
        <v>0</v>
      </c>
      <c r="H53" s="981">
        <v>0</v>
      </c>
      <c r="I53" s="981">
        <v>0</v>
      </c>
      <c r="J53" s="981">
        <v>3</v>
      </c>
      <c r="K53" s="981">
        <v>5</v>
      </c>
      <c r="L53" s="981">
        <v>0</v>
      </c>
    </row>
    <row r="54" spans="1:12" x14ac:dyDescent="0.25">
      <c r="A54" s="981" t="s">
        <v>207</v>
      </c>
      <c r="B54" s="981" t="s">
        <v>252</v>
      </c>
      <c r="C54" s="981"/>
      <c r="D54" s="981" t="s">
        <v>67</v>
      </c>
      <c r="E54" s="981">
        <v>11</v>
      </c>
      <c r="F54" s="981">
        <v>1</v>
      </c>
      <c r="G54" s="981">
        <v>0</v>
      </c>
      <c r="H54" s="981">
        <v>0</v>
      </c>
      <c r="I54" s="981">
        <v>0</v>
      </c>
      <c r="J54" s="981">
        <v>3</v>
      </c>
      <c r="K54" s="981">
        <v>5</v>
      </c>
      <c r="L54" s="981">
        <v>2</v>
      </c>
    </row>
    <row r="55" spans="1:12" x14ac:dyDescent="0.25">
      <c r="A55" s="981" t="s">
        <v>207</v>
      </c>
      <c r="B55" s="981" t="s">
        <v>252</v>
      </c>
      <c r="C55" s="981"/>
      <c r="D55" s="981" t="s">
        <v>43</v>
      </c>
      <c r="E55" s="981">
        <v>21</v>
      </c>
      <c r="F55" s="981">
        <v>1</v>
      </c>
      <c r="G55" s="981">
        <v>0</v>
      </c>
      <c r="H55" s="981">
        <v>0</v>
      </c>
      <c r="I55" s="981">
        <v>0</v>
      </c>
      <c r="J55" s="981">
        <v>3</v>
      </c>
      <c r="K55" s="981">
        <v>6</v>
      </c>
      <c r="L55" s="981">
        <v>11</v>
      </c>
    </row>
    <row r="56" spans="1:12" x14ac:dyDescent="0.25">
      <c r="A56" s="981" t="s">
        <v>207</v>
      </c>
      <c r="B56" s="981" t="s">
        <v>253</v>
      </c>
      <c r="C56" s="981"/>
      <c r="D56" s="981" t="s">
        <v>286</v>
      </c>
      <c r="E56" s="981">
        <v>268</v>
      </c>
      <c r="F56" s="981">
        <v>6</v>
      </c>
      <c r="G56" s="981">
        <v>3</v>
      </c>
      <c r="H56" s="981">
        <v>40</v>
      </c>
      <c r="I56" s="981">
        <v>4</v>
      </c>
      <c r="J56" s="981">
        <v>24</v>
      </c>
      <c r="K56" s="981">
        <v>33</v>
      </c>
      <c r="L56" s="981">
        <v>158</v>
      </c>
    </row>
    <row r="57" spans="1:12" x14ac:dyDescent="0.25">
      <c r="A57" s="981" t="s">
        <v>207</v>
      </c>
      <c r="B57" s="981" t="s">
        <v>253</v>
      </c>
      <c r="C57" s="981"/>
      <c r="D57" s="981" t="s">
        <v>176</v>
      </c>
      <c r="E57" s="981">
        <v>111</v>
      </c>
      <c r="F57" s="981">
        <v>3</v>
      </c>
      <c r="G57" s="981">
        <v>1</v>
      </c>
      <c r="H57" s="981">
        <v>8</v>
      </c>
      <c r="I57" s="981">
        <v>0</v>
      </c>
      <c r="J57" s="981">
        <v>12</v>
      </c>
      <c r="K57" s="981">
        <v>8</v>
      </c>
      <c r="L57" s="981">
        <v>79</v>
      </c>
    </row>
    <row r="58" spans="1:12" x14ac:dyDescent="0.25">
      <c r="A58" s="981" t="s">
        <v>207</v>
      </c>
      <c r="B58" s="981" t="s">
        <v>253</v>
      </c>
      <c r="C58" s="981"/>
      <c r="D58" s="981" t="s">
        <v>177</v>
      </c>
      <c r="E58" s="981">
        <v>80</v>
      </c>
      <c r="F58" s="981">
        <v>1</v>
      </c>
      <c r="G58" s="981">
        <v>1</v>
      </c>
      <c r="H58" s="981">
        <v>8</v>
      </c>
      <c r="I58" s="981">
        <v>3</v>
      </c>
      <c r="J58" s="981">
        <v>3</v>
      </c>
      <c r="K58" s="981">
        <v>15</v>
      </c>
      <c r="L58" s="981">
        <v>49</v>
      </c>
    </row>
    <row r="59" spans="1:12" x14ac:dyDescent="0.25">
      <c r="A59" s="981" t="s">
        <v>207</v>
      </c>
      <c r="B59" s="981" t="s">
        <v>253</v>
      </c>
      <c r="C59" s="981"/>
      <c r="D59" s="981" t="s">
        <v>175</v>
      </c>
      <c r="E59" s="981">
        <v>77</v>
      </c>
      <c r="F59" s="981">
        <v>2</v>
      </c>
      <c r="G59" s="981">
        <v>1</v>
      </c>
      <c r="H59" s="981">
        <v>24</v>
      </c>
      <c r="I59" s="981">
        <v>1</v>
      </c>
      <c r="J59" s="981">
        <v>9</v>
      </c>
      <c r="K59" s="981">
        <v>10</v>
      </c>
      <c r="L59" s="981">
        <v>30</v>
      </c>
    </row>
    <row r="60" spans="1:12" x14ac:dyDescent="0.25">
      <c r="A60" s="981" t="s">
        <v>207</v>
      </c>
      <c r="B60" s="981" t="s">
        <v>254</v>
      </c>
      <c r="C60" s="981"/>
      <c r="D60" s="981" t="s">
        <v>263</v>
      </c>
      <c r="E60" s="981">
        <v>56</v>
      </c>
      <c r="F60" s="981">
        <v>5</v>
      </c>
      <c r="G60" s="981">
        <v>6</v>
      </c>
      <c r="H60" s="981">
        <v>7</v>
      </c>
      <c r="I60" s="981">
        <v>0</v>
      </c>
      <c r="J60" s="981">
        <v>22</v>
      </c>
      <c r="K60" s="981">
        <v>5</v>
      </c>
      <c r="L60" s="981">
        <v>11</v>
      </c>
    </row>
    <row r="61" spans="1:12" x14ac:dyDescent="0.25">
      <c r="A61" s="981" t="s">
        <v>207</v>
      </c>
      <c r="B61" s="981" t="s">
        <v>26</v>
      </c>
      <c r="C61" s="981"/>
      <c r="D61" s="981" t="s">
        <v>263</v>
      </c>
      <c r="E61" s="981">
        <v>4000.76</v>
      </c>
      <c r="F61" s="981">
        <v>28</v>
      </c>
      <c r="G61" s="981">
        <v>9</v>
      </c>
      <c r="H61" s="981">
        <v>660</v>
      </c>
      <c r="I61" s="981">
        <v>2373.7600000000002</v>
      </c>
      <c r="J61" s="981">
        <v>115</v>
      </c>
      <c r="K61" s="981">
        <v>136</v>
      </c>
      <c r="L61" s="981">
        <v>679</v>
      </c>
    </row>
    <row r="62" spans="1:12" x14ac:dyDescent="0.25">
      <c r="A62" s="981" t="s">
        <v>206</v>
      </c>
      <c r="B62" s="981" t="s">
        <v>251</v>
      </c>
      <c r="C62" s="981"/>
      <c r="D62" s="981" t="s">
        <v>286</v>
      </c>
      <c r="E62" s="981">
        <v>3285</v>
      </c>
      <c r="F62" s="981"/>
      <c r="G62" s="981"/>
      <c r="H62" s="981">
        <v>592</v>
      </c>
      <c r="I62" s="981">
        <v>2263</v>
      </c>
      <c r="J62" s="981"/>
      <c r="K62" s="981">
        <v>14</v>
      </c>
      <c r="L62" s="981">
        <v>416</v>
      </c>
    </row>
    <row r="63" spans="1:12" x14ac:dyDescent="0.25">
      <c r="A63" s="981" t="s">
        <v>206</v>
      </c>
      <c r="B63" s="981" t="s">
        <v>251</v>
      </c>
      <c r="C63" s="981"/>
      <c r="D63" s="981" t="s">
        <v>35</v>
      </c>
      <c r="E63" s="981">
        <v>37</v>
      </c>
      <c r="F63" s="981"/>
      <c r="G63" s="981"/>
      <c r="H63" s="981">
        <v>8</v>
      </c>
      <c r="I63" s="981">
        <v>25</v>
      </c>
      <c r="J63" s="981"/>
      <c r="K63" s="981">
        <v>0</v>
      </c>
      <c r="L63" s="981">
        <v>4</v>
      </c>
    </row>
    <row r="64" spans="1:12" x14ac:dyDescent="0.25">
      <c r="A64" s="981" t="s">
        <v>206</v>
      </c>
      <c r="B64" s="981" t="s">
        <v>251</v>
      </c>
      <c r="C64" s="981"/>
      <c r="D64" s="981" t="s">
        <v>36</v>
      </c>
      <c r="E64" s="981">
        <v>69</v>
      </c>
      <c r="F64" s="981"/>
      <c r="G64" s="981"/>
      <c r="H64" s="981">
        <v>11</v>
      </c>
      <c r="I64" s="981">
        <v>52</v>
      </c>
      <c r="J64" s="981"/>
      <c r="K64" s="981">
        <v>0</v>
      </c>
      <c r="L64" s="981">
        <v>6</v>
      </c>
    </row>
    <row r="65" spans="1:12" x14ac:dyDescent="0.25">
      <c r="A65" s="981" t="s">
        <v>206</v>
      </c>
      <c r="B65" s="981" t="s">
        <v>251</v>
      </c>
      <c r="C65" s="981"/>
      <c r="D65" s="981" t="s">
        <v>38</v>
      </c>
      <c r="E65" s="981">
        <v>56</v>
      </c>
      <c r="F65" s="981"/>
      <c r="G65" s="981"/>
      <c r="H65" s="981">
        <v>9</v>
      </c>
      <c r="I65" s="981">
        <v>39</v>
      </c>
      <c r="J65" s="981"/>
      <c r="K65" s="981">
        <v>0</v>
      </c>
      <c r="L65" s="981">
        <v>8</v>
      </c>
    </row>
    <row r="66" spans="1:12" x14ac:dyDescent="0.25">
      <c r="A66" s="981" t="s">
        <v>206</v>
      </c>
      <c r="B66" s="981" t="s">
        <v>251</v>
      </c>
      <c r="C66" s="981"/>
      <c r="D66" s="981" t="s">
        <v>40</v>
      </c>
      <c r="E66" s="981">
        <v>28</v>
      </c>
      <c r="F66" s="981"/>
      <c r="G66" s="981"/>
      <c r="H66" s="981">
        <v>3</v>
      </c>
      <c r="I66" s="981">
        <v>21</v>
      </c>
      <c r="J66" s="981"/>
      <c r="K66" s="981">
        <v>0</v>
      </c>
      <c r="L66" s="981">
        <v>4</v>
      </c>
    </row>
    <row r="67" spans="1:12" x14ac:dyDescent="0.25">
      <c r="A67" s="981" t="s">
        <v>206</v>
      </c>
      <c r="B67" s="981" t="s">
        <v>251</v>
      </c>
      <c r="C67" s="981"/>
      <c r="D67" s="981" t="s">
        <v>41</v>
      </c>
      <c r="E67" s="981">
        <v>57</v>
      </c>
      <c r="F67" s="981"/>
      <c r="G67" s="981"/>
      <c r="H67" s="981">
        <v>13</v>
      </c>
      <c r="I67" s="981">
        <v>35</v>
      </c>
      <c r="J67" s="981"/>
      <c r="K67" s="981">
        <v>0</v>
      </c>
      <c r="L67" s="981">
        <v>9</v>
      </c>
    </row>
    <row r="68" spans="1:12" x14ac:dyDescent="0.25">
      <c r="A68" s="981" t="s">
        <v>206</v>
      </c>
      <c r="B68" s="981" t="s">
        <v>251</v>
      </c>
      <c r="C68" s="981"/>
      <c r="D68" s="981" t="s">
        <v>48</v>
      </c>
      <c r="E68" s="981">
        <v>0</v>
      </c>
      <c r="F68" s="981"/>
      <c r="G68" s="981"/>
      <c r="H68" s="981">
        <v>0</v>
      </c>
      <c r="I68" s="981">
        <v>0</v>
      </c>
      <c r="J68" s="981"/>
      <c r="K68" s="981">
        <v>0</v>
      </c>
      <c r="L68" s="981">
        <v>0</v>
      </c>
    </row>
    <row r="69" spans="1:12" x14ac:dyDescent="0.25">
      <c r="A69" s="981" t="s">
        <v>206</v>
      </c>
      <c r="B69" s="981" t="s">
        <v>251</v>
      </c>
      <c r="C69" s="981"/>
      <c r="D69" s="981" t="s">
        <v>42</v>
      </c>
      <c r="E69" s="981">
        <v>94</v>
      </c>
      <c r="F69" s="981"/>
      <c r="G69" s="981"/>
      <c r="H69" s="981">
        <v>17</v>
      </c>
      <c r="I69" s="981">
        <v>60</v>
      </c>
      <c r="J69" s="981"/>
      <c r="K69" s="981">
        <v>2</v>
      </c>
      <c r="L69" s="981">
        <v>15</v>
      </c>
    </row>
    <row r="70" spans="1:12" x14ac:dyDescent="0.25">
      <c r="A70" s="981" t="s">
        <v>206</v>
      </c>
      <c r="B70" s="981" t="s">
        <v>251</v>
      </c>
      <c r="C70" s="981"/>
      <c r="D70" s="981" t="s">
        <v>44</v>
      </c>
      <c r="E70" s="981">
        <v>81</v>
      </c>
      <c r="F70" s="981"/>
      <c r="G70" s="981"/>
      <c r="H70" s="981">
        <v>11</v>
      </c>
      <c r="I70" s="981">
        <v>57</v>
      </c>
      <c r="J70" s="981"/>
      <c r="K70" s="981">
        <v>1</v>
      </c>
      <c r="L70" s="981">
        <v>12</v>
      </c>
    </row>
    <row r="71" spans="1:12" x14ac:dyDescent="0.25">
      <c r="A71" s="981" t="s">
        <v>206</v>
      </c>
      <c r="B71" s="981" t="s">
        <v>251</v>
      </c>
      <c r="C71" s="981"/>
      <c r="D71" s="981" t="s">
        <v>45</v>
      </c>
      <c r="E71" s="981">
        <v>77</v>
      </c>
      <c r="F71" s="981"/>
      <c r="G71" s="981"/>
      <c r="H71" s="981">
        <v>16</v>
      </c>
      <c r="I71" s="981">
        <v>49</v>
      </c>
      <c r="J71" s="981"/>
      <c r="K71" s="981">
        <v>0</v>
      </c>
      <c r="L71" s="981">
        <v>12</v>
      </c>
    </row>
    <row r="72" spans="1:12" x14ac:dyDescent="0.25">
      <c r="A72" s="981" t="s">
        <v>206</v>
      </c>
      <c r="B72" s="981" t="s">
        <v>251</v>
      </c>
      <c r="C72" s="981"/>
      <c r="D72" s="981" t="s">
        <v>46</v>
      </c>
      <c r="E72" s="981">
        <v>35</v>
      </c>
      <c r="F72" s="981"/>
      <c r="G72" s="981"/>
      <c r="H72" s="981">
        <v>4</v>
      </c>
      <c r="I72" s="981">
        <v>26</v>
      </c>
      <c r="J72" s="981"/>
      <c r="K72" s="981">
        <v>0</v>
      </c>
      <c r="L72" s="981">
        <v>5</v>
      </c>
    </row>
    <row r="73" spans="1:12" x14ac:dyDescent="0.25">
      <c r="A73" s="981" t="s">
        <v>206</v>
      </c>
      <c r="B73" s="981" t="s">
        <v>251</v>
      </c>
      <c r="C73" s="981"/>
      <c r="D73" s="981" t="s">
        <v>47</v>
      </c>
      <c r="E73" s="981">
        <v>21</v>
      </c>
      <c r="F73" s="981"/>
      <c r="G73" s="981"/>
      <c r="H73" s="981">
        <v>3</v>
      </c>
      <c r="I73" s="981">
        <v>14</v>
      </c>
      <c r="J73" s="981"/>
      <c r="K73" s="981">
        <v>0</v>
      </c>
      <c r="L73" s="981">
        <v>4</v>
      </c>
    </row>
    <row r="74" spans="1:12" x14ac:dyDescent="0.25">
      <c r="A74" s="981" t="s">
        <v>206</v>
      </c>
      <c r="B74" s="981" t="s">
        <v>251</v>
      </c>
      <c r="C74" s="981"/>
      <c r="D74" s="981" t="s">
        <v>49</v>
      </c>
      <c r="E74" s="981">
        <v>78</v>
      </c>
      <c r="F74" s="981"/>
      <c r="G74" s="981"/>
      <c r="H74" s="981">
        <v>14</v>
      </c>
      <c r="I74" s="981">
        <v>50</v>
      </c>
      <c r="J74" s="981"/>
      <c r="K74" s="981">
        <v>0</v>
      </c>
      <c r="L74" s="981">
        <v>14</v>
      </c>
    </row>
    <row r="75" spans="1:12" x14ac:dyDescent="0.25">
      <c r="A75" s="981" t="s">
        <v>206</v>
      </c>
      <c r="B75" s="981" t="s">
        <v>251</v>
      </c>
      <c r="C75" s="981"/>
      <c r="D75" s="981" t="s">
        <v>51</v>
      </c>
      <c r="E75" s="981">
        <v>0</v>
      </c>
      <c r="F75" s="981"/>
      <c r="G75" s="981"/>
      <c r="H75" s="981">
        <v>0</v>
      </c>
      <c r="I75" s="981">
        <v>0</v>
      </c>
      <c r="J75" s="981"/>
      <c r="K75" s="981">
        <v>0</v>
      </c>
      <c r="L75" s="981">
        <v>0</v>
      </c>
    </row>
    <row r="76" spans="1:12" x14ac:dyDescent="0.25">
      <c r="A76" s="981" t="s">
        <v>206</v>
      </c>
      <c r="B76" s="981" t="s">
        <v>251</v>
      </c>
      <c r="C76" s="981"/>
      <c r="D76" s="981" t="s">
        <v>52</v>
      </c>
      <c r="E76" s="981">
        <v>86</v>
      </c>
      <c r="F76" s="981"/>
      <c r="G76" s="981"/>
      <c r="H76" s="981">
        <v>16</v>
      </c>
      <c r="I76" s="981">
        <v>58</v>
      </c>
      <c r="J76" s="981"/>
      <c r="K76" s="981">
        <v>1</v>
      </c>
      <c r="L76" s="981">
        <v>11</v>
      </c>
    </row>
    <row r="77" spans="1:12" x14ac:dyDescent="0.25">
      <c r="A77" s="981" t="s">
        <v>206</v>
      </c>
      <c r="B77" s="981" t="s">
        <v>251</v>
      </c>
      <c r="C77" s="981"/>
      <c r="D77" s="981" t="s">
        <v>54</v>
      </c>
      <c r="E77" s="981">
        <v>73</v>
      </c>
      <c r="F77" s="981"/>
      <c r="G77" s="981"/>
      <c r="H77" s="981">
        <v>11</v>
      </c>
      <c r="I77" s="981">
        <v>51</v>
      </c>
      <c r="J77" s="981"/>
      <c r="K77" s="981">
        <v>0</v>
      </c>
      <c r="L77" s="981">
        <v>11</v>
      </c>
    </row>
    <row r="78" spans="1:12" x14ac:dyDescent="0.25">
      <c r="A78" s="981" t="s">
        <v>206</v>
      </c>
      <c r="B78" s="981" t="s">
        <v>251</v>
      </c>
      <c r="C78" s="981"/>
      <c r="D78" s="981" t="s">
        <v>55</v>
      </c>
      <c r="E78" s="981">
        <v>0</v>
      </c>
      <c r="F78" s="981"/>
      <c r="G78" s="981"/>
      <c r="H78" s="981">
        <v>0</v>
      </c>
      <c r="I78" s="981">
        <v>0</v>
      </c>
      <c r="J78" s="981"/>
      <c r="K78" s="981">
        <v>0</v>
      </c>
      <c r="L78" s="981">
        <v>0</v>
      </c>
    </row>
    <row r="79" spans="1:12" x14ac:dyDescent="0.25">
      <c r="A79" s="981" t="s">
        <v>206</v>
      </c>
      <c r="B79" s="981" t="s">
        <v>251</v>
      </c>
      <c r="C79" s="981"/>
      <c r="D79" s="981" t="s">
        <v>56</v>
      </c>
      <c r="E79" s="981">
        <v>60</v>
      </c>
      <c r="F79" s="981"/>
      <c r="G79" s="981"/>
      <c r="H79" s="981">
        <v>9</v>
      </c>
      <c r="I79" s="981">
        <v>43</v>
      </c>
      <c r="J79" s="981"/>
      <c r="K79" s="981">
        <v>0</v>
      </c>
      <c r="L79" s="981">
        <v>8</v>
      </c>
    </row>
    <row r="80" spans="1:12" x14ac:dyDescent="0.25">
      <c r="A80" s="981" t="s">
        <v>206</v>
      </c>
      <c r="B80" s="981" t="s">
        <v>251</v>
      </c>
      <c r="C80" s="981"/>
      <c r="D80" s="981" t="s">
        <v>57</v>
      </c>
      <c r="E80" s="981">
        <v>187</v>
      </c>
      <c r="F80" s="981"/>
      <c r="G80" s="981"/>
      <c r="H80" s="981">
        <v>35</v>
      </c>
      <c r="I80" s="981">
        <v>126</v>
      </c>
      <c r="J80" s="981"/>
      <c r="K80" s="981">
        <v>2</v>
      </c>
      <c r="L80" s="981">
        <v>24</v>
      </c>
    </row>
    <row r="81" spans="1:12" x14ac:dyDescent="0.25">
      <c r="A81" s="981" t="s">
        <v>206</v>
      </c>
      <c r="B81" s="981" t="s">
        <v>251</v>
      </c>
      <c r="C81" s="981"/>
      <c r="D81" s="981" t="s">
        <v>58</v>
      </c>
      <c r="E81" s="981">
        <v>55</v>
      </c>
      <c r="F81" s="981"/>
      <c r="G81" s="981"/>
      <c r="H81" s="981">
        <v>10</v>
      </c>
      <c r="I81" s="981">
        <v>37</v>
      </c>
      <c r="J81" s="981"/>
      <c r="K81" s="981">
        <v>0</v>
      </c>
      <c r="L81" s="981">
        <v>8</v>
      </c>
    </row>
    <row r="82" spans="1:12" x14ac:dyDescent="0.25">
      <c r="A82" s="981" t="s">
        <v>206</v>
      </c>
      <c r="B82" s="981" t="s">
        <v>251</v>
      </c>
      <c r="C82" s="981"/>
      <c r="D82" s="981" t="s">
        <v>31</v>
      </c>
      <c r="E82" s="981">
        <v>173</v>
      </c>
      <c r="F82" s="981"/>
      <c r="G82" s="981"/>
      <c r="H82" s="981">
        <v>25</v>
      </c>
      <c r="I82" s="981">
        <v>122</v>
      </c>
      <c r="J82" s="981"/>
      <c r="K82" s="981">
        <v>0</v>
      </c>
      <c r="L82" s="981">
        <v>26</v>
      </c>
    </row>
    <row r="83" spans="1:12" x14ac:dyDescent="0.25">
      <c r="A83" s="981" t="s">
        <v>206</v>
      </c>
      <c r="B83" s="981" t="s">
        <v>251</v>
      </c>
      <c r="C83" s="981"/>
      <c r="D83" s="981" t="s">
        <v>32</v>
      </c>
      <c r="E83" s="981">
        <v>23</v>
      </c>
      <c r="F83" s="981"/>
      <c r="G83" s="981"/>
      <c r="H83" s="981">
        <v>3</v>
      </c>
      <c r="I83" s="981">
        <v>18</v>
      </c>
      <c r="J83" s="981"/>
      <c r="K83" s="981">
        <v>0</v>
      </c>
      <c r="L83" s="981">
        <v>2</v>
      </c>
    </row>
    <row r="84" spans="1:12" x14ac:dyDescent="0.25">
      <c r="A84" s="981" t="s">
        <v>206</v>
      </c>
      <c r="B84" s="981" t="s">
        <v>251</v>
      </c>
      <c r="C84" s="981"/>
      <c r="D84" s="981" t="s">
        <v>34</v>
      </c>
      <c r="E84" s="981">
        <v>54</v>
      </c>
      <c r="F84" s="981"/>
      <c r="G84" s="981"/>
      <c r="H84" s="981">
        <v>10</v>
      </c>
      <c r="I84" s="981">
        <v>27</v>
      </c>
      <c r="J84" s="981"/>
      <c r="K84" s="981">
        <v>2</v>
      </c>
      <c r="L84" s="981">
        <v>15</v>
      </c>
    </row>
    <row r="85" spans="1:12" x14ac:dyDescent="0.25">
      <c r="A85" s="981" t="s">
        <v>206</v>
      </c>
      <c r="B85" s="981" t="s">
        <v>251</v>
      </c>
      <c r="C85" s="981"/>
      <c r="D85" s="981" t="s">
        <v>262</v>
      </c>
      <c r="E85" s="981">
        <v>348</v>
      </c>
      <c r="F85" s="981"/>
      <c r="G85" s="981"/>
      <c r="H85" s="981">
        <v>64</v>
      </c>
      <c r="I85" s="981">
        <v>257</v>
      </c>
      <c r="J85" s="981"/>
      <c r="K85" s="981">
        <v>1</v>
      </c>
      <c r="L85" s="981">
        <v>26</v>
      </c>
    </row>
    <row r="86" spans="1:12" x14ac:dyDescent="0.25">
      <c r="A86" s="981" t="s">
        <v>206</v>
      </c>
      <c r="B86" s="981" t="s">
        <v>251</v>
      </c>
      <c r="C86" s="981"/>
      <c r="D86" s="981" t="s">
        <v>53</v>
      </c>
      <c r="E86" s="981">
        <v>115</v>
      </c>
      <c r="F86" s="981"/>
      <c r="G86" s="981"/>
      <c r="H86" s="981">
        <v>23</v>
      </c>
      <c r="I86" s="981">
        <v>72</v>
      </c>
      <c r="J86" s="981"/>
      <c r="K86" s="981">
        <v>0</v>
      </c>
      <c r="L86" s="981">
        <v>20</v>
      </c>
    </row>
    <row r="87" spans="1:12" x14ac:dyDescent="0.25">
      <c r="A87" s="981" t="s">
        <v>206</v>
      </c>
      <c r="B87" s="981" t="s">
        <v>251</v>
      </c>
      <c r="C87" s="981"/>
      <c r="D87" s="981" t="s">
        <v>59</v>
      </c>
      <c r="E87" s="981">
        <v>74</v>
      </c>
      <c r="F87" s="981"/>
      <c r="G87" s="981"/>
      <c r="H87" s="981">
        <v>20</v>
      </c>
      <c r="I87" s="981">
        <v>45</v>
      </c>
      <c r="J87" s="981"/>
      <c r="K87" s="981">
        <v>0</v>
      </c>
      <c r="L87" s="981">
        <v>9</v>
      </c>
    </row>
    <row r="88" spans="1:12" x14ac:dyDescent="0.25">
      <c r="A88" s="981" t="s">
        <v>206</v>
      </c>
      <c r="B88" s="981" t="s">
        <v>251</v>
      </c>
      <c r="C88" s="981"/>
      <c r="D88" s="981" t="s">
        <v>60</v>
      </c>
      <c r="E88" s="981">
        <v>79</v>
      </c>
      <c r="F88" s="981"/>
      <c r="G88" s="981"/>
      <c r="H88" s="981">
        <v>9</v>
      </c>
      <c r="I88" s="981">
        <v>59</v>
      </c>
      <c r="J88" s="981"/>
      <c r="K88" s="981">
        <v>1</v>
      </c>
      <c r="L88" s="981">
        <v>10</v>
      </c>
    </row>
    <row r="89" spans="1:12" x14ac:dyDescent="0.25">
      <c r="A89" s="981" t="s">
        <v>206</v>
      </c>
      <c r="B89" s="981" t="s">
        <v>251</v>
      </c>
      <c r="C89" s="981"/>
      <c r="D89" s="981" t="s">
        <v>33</v>
      </c>
      <c r="E89" s="981">
        <v>27</v>
      </c>
      <c r="F89" s="981"/>
      <c r="G89" s="981"/>
      <c r="H89" s="981">
        <v>0</v>
      </c>
      <c r="I89" s="981">
        <v>22</v>
      </c>
      <c r="J89" s="981"/>
      <c r="K89" s="981">
        <v>1</v>
      </c>
      <c r="L89" s="981">
        <v>4</v>
      </c>
    </row>
    <row r="90" spans="1:12" x14ac:dyDescent="0.25">
      <c r="A90" s="981" t="s">
        <v>206</v>
      </c>
      <c r="B90" s="981" t="s">
        <v>251</v>
      </c>
      <c r="C90" s="981"/>
      <c r="D90" s="981" t="s">
        <v>37</v>
      </c>
      <c r="E90" s="981">
        <v>207</v>
      </c>
      <c r="F90" s="981"/>
      <c r="G90" s="981"/>
      <c r="H90" s="981">
        <v>27</v>
      </c>
      <c r="I90" s="981">
        <v>158</v>
      </c>
      <c r="J90" s="981"/>
      <c r="K90" s="981">
        <v>1</v>
      </c>
      <c r="L90" s="981">
        <v>21</v>
      </c>
    </row>
    <row r="91" spans="1:12" x14ac:dyDescent="0.25">
      <c r="A91" s="981" t="s">
        <v>206</v>
      </c>
      <c r="B91" s="981" t="s">
        <v>251</v>
      </c>
      <c r="C91" s="981"/>
      <c r="D91" s="981" t="s">
        <v>50</v>
      </c>
      <c r="E91" s="981">
        <v>187</v>
      </c>
      <c r="F91" s="981"/>
      <c r="G91" s="981"/>
      <c r="H91" s="981">
        <v>37</v>
      </c>
      <c r="I91" s="981">
        <v>125</v>
      </c>
      <c r="J91" s="981"/>
      <c r="K91" s="981">
        <v>1</v>
      </c>
      <c r="L91" s="981">
        <v>24</v>
      </c>
    </row>
    <row r="92" spans="1:12" x14ac:dyDescent="0.25">
      <c r="A92" s="981" t="s">
        <v>206</v>
      </c>
      <c r="B92" s="981" t="s">
        <v>251</v>
      </c>
      <c r="C92" s="981"/>
      <c r="D92" s="981" t="s">
        <v>39</v>
      </c>
      <c r="E92" s="981">
        <v>72</v>
      </c>
      <c r="F92" s="981"/>
      <c r="G92" s="981"/>
      <c r="H92" s="981">
        <v>14</v>
      </c>
      <c r="I92" s="981">
        <v>44</v>
      </c>
      <c r="J92" s="981"/>
      <c r="K92" s="981">
        <v>0</v>
      </c>
      <c r="L92" s="981">
        <v>14</v>
      </c>
    </row>
    <row r="93" spans="1:12" x14ac:dyDescent="0.25">
      <c r="A93" s="981" t="s">
        <v>206</v>
      </c>
      <c r="B93" s="981" t="s">
        <v>251</v>
      </c>
      <c r="C93" s="981"/>
      <c r="D93" s="981" t="s">
        <v>124</v>
      </c>
      <c r="E93" s="981">
        <v>544</v>
      </c>
      <c r="F93" s="981"/>
      <c r="G93" s="981"/>
      <c r="H93" s="981">
        <v>116</v>
      </c>
      <c r="I93" s="981">
        <v>362</v>
      </c>
      <c r="J93" s="981"/>
      <c r="K93" s="981">
        <v>1</v>
      </c>
      <c r="L93" s="981">
        <v>65</v>
      </c>
    </row>
    <row r="94" spans="1:12" x14ac:dyDescent="0.25">
      <c r="A94" s="981" t="s">
        <v>206</v>
      </c>
      <c r="B94" s="981" t="s">
        <v>251</v>
      </c>
      <c r="C94" s="981"/>
      <c r="D94" s="981" t="s">
        <v>43</v>
      </c>
      <c r="E94" s="981">
        <v>288</v>
      </c>
      <c r="F94" s="981"/>
      <c r="G94" s="981"/>
      <c r="H94" s="981">
        <v>54</v>
      </c>
      <c r="I94" s="981">
        <v>209</v>
      </c>
      <c r="J94" s="981"/>
      <c r="K94" s="981">
        <v>0</v>
      </c>
      <c r="L94" s="981">
        <v>25</v>
      </c>
    </row>
    <row r="95" spans="1:12" x14ac:dyDescent="0.25">
      <c r="A95" s="981" t="s">
        <v>206</v>
      </c>
      <c r="B95" s="981" t="s">
        <v>252</v>
      </c>
      <c r="C95" s="981"/>
      <c r="D95" s="981" t="s">
        <v>286</v>
      </c>
      <c r="E95" s="981">
        <v>270</v>
      </c>
      <c r="F95" s="981">
        <v>18</v>
      </c>
      <c r="G95" s="981"/>
      <c r="H95" s="981">
        <v>4</v>
      </c>
      <c r="I95" s="981">
        <v>14</v>
      </c>
      <c r="J95" s="981">
        <v>65</v>
      </c>
      <c r="K95" s="981">
        <v>79</v>
      </c>
      <c r="L95" s="981">
        <v>90</v>
      </c>
    </row>
    <row r="96" spans="1:12" x14ac:dyDescent="0.25">
      <c r="A96" s="981" t="s">
        <v>206</v>
      </c>
      <c r="B96" s="981" t="s">
        <v>252</v>
      </c>
      <c r="C96" s="981"/>
      <c r="D96" s="981" t="s">
        <v>31</v>
      </c>
      <c r="E96" s="981">
        <v>18</v>
      </c>
      <c r="F96" s="981">
        <v>1</v>
      </c>
      <c r="G96" s="981"/>
      <c r="H96" s="981">
        <v>0</v>
      </c>
      <c r="I96" s="981">
        <v>0</v>
      </c>
      <c r="J96" s="981">
        <v>3</v>
      </c>
      <c r="K96" s="981">
        <v>7</v>
      </c>
      <c r="L96" s="981">
        <v>7</v>
      </c>
    </row>
    <row r="97" spans="1:12" x14ac:dyDescent="0.25">
      <c r="A97" s="981" t="s">
        <v>206</v>
      </c>
      <c r="B97" s="981" t="s">
        <v>252</v>
      </c>
      <c r="C97" s="981"/>
      <c r="D97" s="981" t="s">
        <v>64</v>
      </c>
      <c r="E97" s="981">
        <v>18</v>
      </c>
      <c r="F97" s="981">
        <v>1</v>
      </c>
      <c r="G97" s="981"/>
      <c r="H97" s="981">
        <v>0</v>
      </c>
      <c r="I97" s="981">
        <v>2</v>
      </c>
      <c r="J97" s="981">
        <v>1</v>
      </c>
      <c r="K97" s="981">
        <v>4</v>
      </c>
      <c r="L97" s="981">
        <v>10</v>
      </c>
    </row>
    <row r="98" spans="1:12" x14ac:dyDescent="0.25">
      <c r="A98" s="981" t="s">
        <v>206</v>
      </c>
      <c r="B98" s="981" t="s">
        <v>252</v>
      </c>
      <c r="C98" s="981"/>
      <c r="D98" s="981" t="s">
        <v>65</v>
      </c>
      <c r="E98" s="981">
        <v>21</v>
      </c>
      <c r="F98" s="981">
        <v>1</v>
      </c>
      <c r="G98" s="981"/>
      <c r="H98" s="981">
        <v>0</v>
      </c>
      <c r="I98" s="981">
        <v>1</v>
      </c>
      <c r="J98" s="981">
        <v>7</v>
      </c>
      <c r="K98" s="981">
        <v>5</v>
      </c>
      <c r="L98" s="981">
        <v>7</v>
      </c>
    </row>
    <row r="99" spans="1:12" x14ac:dyDescent="0.25">
      <c r="A99" s="981" t="s">
        <v>206</v>
      </c>
      <c r="B99" s="981" t="s">
        <v>252</v>
      </c>
      <c r="C99" s="981"/>
      <c r="D99" s="981" t="s">
        <v>36</v>
      </c>
      <c r="E99" s="981">
        <v>18</v>
      </c>
      <c r="F99" s="981">
        <v>0</v>
      </c>
      <c r="G99" s="981"/>
      <c r="H99" s="981">
        <v>0</v>
      </c>
      <c r="I99" s="981">
        <v>1</v>
      </c>
      <c r="J99" s="981">
        <v>2</v>
      </c>
      <c r="K99" s="981">
        <v>5</v>
      </c>
      <c r="L99" s="981">
        <v>10</v>
      </c>
    </row>
    <row r="100" spans="1:12" x14ac:dyDescent="0.25">
      <c r="A100" s="981" t="s">
        <v>206</v>
      </c>
      <c r="B100" s="981" t="s">
        <v>252</v>
      </c>
      <c r="C100" s="981"/>
      <c r="D100" s="981" t="s">
        <v>68</v>
      </c>
      <c r="E100" s="981">
        <v>20</v>
      </c>
      <c r="F100" s="981">
        <v>1</v>
      </c>
      <c r="G100" s="981"/>
      <c r="H100" s="981">
        <v>0</v>
      </c>
      <c r="I100" s="981">
        <v>0</v>
      </c>
      <c r="J100" s="981">
        <v>7</v>
      </c>
      <c r="K100" s="981">
        <v>7</v>
      </c>
      <c r="L100" s="981">
        <v>5</v>
      </c>
    </row>
    <row r="101" spans="1:12" x14ac:dyDescent="0.25">
      <c r="A101" s="981" t="s">
        <v>206</v>
      </c>
      <c r="B101" s="981" t="s">
        <v>252</v>
      </c>
      <c r="C101" s="981"/>
      <c r="D101" s="981" t="s">
        <v>69</v>
      </c>
      <c r="E101" s="981">
        <v>17</v>
      </c>
      <c r="F101" s="981">
        <v>1</v>
      </c>
      <c r="G101" s="981"/>
      <c r="H101" s="981">
        <v>0</v>
      </c>
      <c r="I101" s="981">
        <v>4</v>
      </c>
      <c r="J101" s="981">
        <v>5</v>
      </c>
      <c r="K101" s="981">
        <v>1</v>
      </c>
      <c r="L101" s="981">
        <v>6</v>
      </c>
    </row>
    <row r="102" spans="1:12" x14ac:dyDescent="0.25">
      <c r="A102" s="981" t="s">
        <v>206</v>
      </c>
      <c r="B102" s="981" t="s">
        <v>252</v>
      </c>
      <c r="C102" s="981"/>
      <c r="D102" s="981" t="s">
        <v>70</v>
      </c>
      <c r="E102" s="981">
        <v>12</v>
      </c>
      <c r="F102" s="981">
        <v>1</v>
      </c>
      <c r="G102" s="981"/>
      <c r="H102" s="981">
        <v>0</v>
      </c>
      <c r="I102" s="981">
        <v>0</v>
      </c>
      <c r="J102" s="981">
        <v>3</v>
      </c>
      <c r="K102" s="981">
        <v>5</v>
      </c>
      <c r="L102" s="981">
        <v>3</v>
      </c>
    </row>
    <row r="103" spans="1:12" x14ac:dyDescent="0.25">
      <c r="A103" s="981" t="s">
        <v>206</v>
      </c>
      <c r="B103" s="981" t="s">
        <v>252</v>
      </c>
      <c r="C103" s="981"/>
      <c r="D103" s="981" t="s">
        <v>178</v>
      </c>
      <c r="E103" s="981">
        <v>24</v>
      </c>
      <c r="F103" s="981">
        <v>2</v>
      </c>
      <c r="G103" s="981"/>
      <c r="H103" s="981">
        <v>2</v>
      </c>
      <c r="I103" s="981">
        <v>2</v>
      </c>
      <c r="J103" s="981">
        <v>8</v>
      </c>
      <c r="K103" s="981">
        <v>4</v>
      </c>
      <c r="L103" s="981">
        <v>6</v>
      </c>
    </row>
    <row r="104" spans="1:12" x14ac:dyDescent="0.25">
      <c r="A104" s="981" t="s">
        <v>206</v>
      </c>
      <c r="B104" s="981" t="s">
        <v>252</v>
      </c>
      <c r="C104" s="981"/>
      <c r="D104" s="981" t="s">
        <v>71</v>
      </c>
      <c r="E104" s="981">
        <v>13</v>
      </c>
      <c r="F104" s="981">
        <v>1</v>
      </c>
      <c r="G104" s="981"/>
      <c r="H104" s="981">
        <v>0</v>
      </c>
      <c r="I104" s="981">
        <v>1</v>
      </c>
      <c r="J104" s="981">
        <v>3</v>
      </c>
      <c r="K104" s="981">
        <v>3</v>
      </c>
      <c r="L104" s="981">
        <v>5</v>
      </c>
    </row>
    <row r="105" spans="1:12" x14ac:dyDescent="0.25">
      <c r="A105" s="981" t="s">
        <v>206</v>
      </c>
      <c r="B105" s="981" t="s">
        <v>252</v>
      </c>
      <c r="C105" s="981"/>
      <c r="D105" s="981" t="s">
        <v>124</v>
      </c>
      <c r="E105" s="981">
        <v>25</v>
      </c>
      <c r="F105" s="981">
        <v>1</v>
      </c>
      <c r="G105" s="981"/>
      <c r="H105" s="981">
        <v>1</v>
      </c>
      <c r="I105" s="981">
        <v>2</v>
      </c>
      <c r="J105" s="981">
        <v>4</v>
      </c>
      <c r="K105" s="981">
        <v>8</v>
      </c>
      <c r="L105" s="981">
        <v>9</v>
      </c>
    </row>
    <row r="106" spans="1:12" x14ac:dyDescent="0.25">
      <c r="A106" s="981" t="s">
        <v>206</v>
      </c>
      <c r="B106" s="981" t="s">
        <v>252</v>
      </c>
      <c r="C106" s="981"/>
      <c r="D106" s="981" t="s">
        <v>72</v>
      </c>
      <c r="E106" s="981">
        <v>13</v>
      </c>
      <c r="F106" s="981">
        <v>1</v>
      </c>
      <c r="G106" s="981"/>
      <c r="H106" s="981">
        <v>0</v>
      </c>
      <c r="I106" s="981">
        <v>0</v>
      </c>
      <c r="J106" s="981">
        <v>6</v>
      </c>
      <c r="K106" s="981">
        <v>5</v>
      </c>
      <c r="L106" s="981">
        <v>1</v>
      </c>
    </row>
    <row r="107" spans="1:12" x14ac:dyDescent="0.25">
      <c r="A107" s="981" t="s">
        <v>206</v>
      </c>
      <c r="B107" s="981" t="s">
        <v>252</v>
      </c>
      <c r="C107" s="981"/>
      <c r="D107" s="981" t="s">
        <v>50</v>
      </c>
      <c r="E107" s="981">
        <v>16</v>
      </c>
      <c r="F107" s="981">
        <v>2</v>
      </c>
      <c r="G107" s="981"/>
      <c r="H107" s="981">
        <v>1</v>
      </c>
      <c r="I107" s="981">
        <v>1</v>
      </c>
      <c r="J107" s="981">
        <v>3</v>
      </c>
      <c r="K107" s="981">
        <v>5</v>
      </c>
      <c r="L107" s="981">
        <v>4</v>
      </c>
    </row>
    <row r="108" spans="1:12" x14ac:dyDescent="0.25">
      <c r="A108" s="981" t="s">
        <v>206</v>
      </c>
      <c r="B108" s="981" t="s">
        <v>252</v>
      </c>
      <c r="C108" s="981"/>
      <c r="D108" s="981" t="s">
        <v>57</v>
      </c>
      <c r="E108" s="981">
        <v>10</v>
      </c>
      <c r="F108" s="981">
        <v>1</v>
      </c>
      <c r="G108" s="981"/>
      <c r="H108" s="981">
        <v>0</v>
      </c>
      <c r="I108" s="981">
        <v>0</v>
      </c>
      <c r="J108" s="981">
        <v>4</v>
      </c>
      <c r="K108" s="981">
        <v>2</v>
      </c>
      <c r="L108" s="981">
        <v>3</v>
      </c>
    </row>
    <row r="109" spans="1:12" x14ac:dyDescent="0.25">
      <c r="A109" s="981" t="s">
        <v>206</v>
      </c>
      <c r="B109" s="981" t="s">
        <v>252</v>
      </c>
      <c r="C109" s="981"/>
      <c r="D109" s="981" t="s">
        <v>73</v>
      </c>
      <c r="E109" s="981">
        <v>5</v>
      </c>
      <c r="F109" s="981">
        <v>0</v>
      </c>
      <c r="G109" s="981"/>
      <c r="H109" s="981">
        <v>0</v>
      </c>
      <c r="I109" s="981">
        <v>0</v>
      </c>
      <c r="J109" s="981">
        <v>1</v>
      </c>
      <c r="K109" s="981">
        <v>4</v>
      </c>
      <c r="L109" s="981">
        <v>0</v>
      </c>
    </row>
    <row r="110" spans="1:12" x14ac:dyDescent="0.25">
      <c r="A110" s="981" t="s">
        <v>206</v>
      </c>
      <c r="B110" s="981" t="s">
        <v>252</v>
      </c>
      <c r="C110" s="981"/>
      <c r="D110" s="981" t="s">
        <v>74</v>
      </c>
      <c r="E110" s="981">
        <v>7</v>
      </c>
      <c r="F110" s="981">
        <v>1</v>
      </c>
      <c r="G110" s="981"/>
      <c r="H110" s="981">
        <v>0</v>
      </c>
      <c r="I110" s="981">
        <v>0</v>
      </c>
      <c r="J110" s="981">
        <v>3</v>
      </c>
      <c r="K110" s="981">
        <v>3</v>
      </c>
      <c r="L110" s="981">
        <v>0</v>
      </c>
    </row>
    <row r="111" spans="1:12" x14ac:dyDescent="0.25">
      <c r="A111" s="981" t="s">
        <v>206</v>
      </c>
      <c r="B111" s="981" t="s">
        <v>252</v>
      </c>
      <c r="C111" s="981"/>
      <c r="D111" s="981" t="s">
        <v>67</v>
      </c>
      <c r="E111" s="981">
        <v>12</v>
      </c>
      <c r="F111" s="981">
        <v>1</v>
      </c>
      <c r="G111" s="981"/>
      <c r="H111" s="981">
        <v>0</v>
      </c>
      <c r="I111" s="981">
        <v>0</v>
      </c>
      <c r="J111" s="981">
        <v>3</v>
      </c>
      <c r="K111" s="981">
        <v>5</v>
      </c>
      <c r="L111" s="981">
        <v>3</v>
      </c>
    </row>
    <row r="112" spans="1:12" x14ac:dyDescent="0.25">
      <c r="A112" s="981" t="s">
        <v>206</v>
      </c>
      <c r="B112" s="981" t="s">
        <v>252</v>
      </c>
      <c r="C112" s="981"/>
      <c r="D112" s="981" t="s">
        <v>43</v>
      </c>
      <c r="E112" s="981">
        <v>21</v>
      </c>
      <c r="F112" s="981">
        <v>2</v>
      </c>
      <c r="G112" s="981"/>
      <c r="H112" s="981">
        <v>0</v>
      </c>
      <c r="I112" s="981">
        <v>0</v>
      </c>
      <c r="J112" s="981">
        <v>2</v>
      </c>
      <c r="K112" s="981">
        <v>6</v>
      </c>
      <c r="L112" s="981">
        <v>11</v>
      </c>
    </row>
    <row r="113" spans="1:12" x14ac:dyDescent="0.25">
      <c r="A113" s="981" t="s">
        <v>206</v>
      </c>
      <c r="B113" s="981" t="s">
        <v>253</v>
      </c>
      <c r="C113" s="981"/>
      <c r="D113" s="981" t="s">
        <v>286</v>
      </c>
      <c r="E113" s="981">
        <v>249</v>
      </c>
      <c r="F113" s="981">
        <v>4</v>
      </c>
      <c r="G113" s="981"/>
      <c r="H113" s="981">
        <v>34</v>
      </c>
      <c r="I113" s="981">
        <v>7</v>
      </c>
      <c r="J113" s="981">
        <v>26</v>
      </c>
      <c r="K113" s="981">
        <v>31</v>
      </c>
      <c r="L113" s="981">
        <v>147</v>
      </c>
    </row>
    <row r="114" spans="1:12" x14ac:dyDescent="0.25">
      <c r="A114" s="981" t="s">
        <v>206</v>
      </c>
      <c r="B114" s="981" t="s">
        <v>253</v>
      </c>
      <c r="C114" s="981"/>
      <c r="D114" s="981" t="s">
        <v>176</v>
      </c>
      <c r="E114" s="981">
        <v>105</v>
      </c>
      <c r="F114" s="981">
        <v>2</v>
      </c>
      <c r="G114" s="981"/>
      <c r="H114" s="981">
        <v>9</v>
      </c>
      <c r="I114" s="981">
        <v>0</v>
      </c>
      <c r="J114" s="981">
        <v>15</v>
      </c>
      <c r="K114" s="981">
        <v>4</v>
      </c>
      <c r="L114" s="981">
        <v>75</v>
      </c>
    </row>
    <row r="115" spans="1:12" x14ac:dyDescent="0.25">
      <c r="A115" s="981" t="s">
        <v>206</v>
      </c>
      <c r="B115" s="981" t="s">
        <v>253</v>
      </c>
      <c r="C115" s="981"/>
      <c r="D115" s="981" t="s">
        <v>177</v>
      </c>
      <c r="E115" s="981">
        <v>78</v>
      </c>
      <c r="F115" s="981">
        <v>1</v>
      </c>
      <c r="G115" s="981"/>
      <c r="H115" s="981">
        <v>4</v>
      </c>
      <c r="I115" s="981">
        <v>6</v>
      </c>
      <c r="J115" s="981">
        <v>4</v>
      </c>
      <c r="K115" s="981">
        <v>17</v>
      </c>
      <c r="L115" s="981">
        <v>46</v>
      </c>
    </row>
    <row r="116" spans="1:12" x14ac:dyDescent="0.25">
      <c r="A116" s="981" t="s">
        <v>206</v>
      </c>
      <c r="B116" s="981" t="s">
        <v>253</v>
      </c>
      <c r="C116" s="981"/>
      <c r="D116" s="981" t="s">
        <v>175</v>
      </c>
      <c r="E116" s="981">
        <v>66</v>
      </c>
      <c r="F116" s="981">
        <v>1</v>
      </c>
      <c r="G116" s="981"/>
      <c r="H116" s="981">
        <v>21</v>
      </c>
      <c r="I116" s="981">
        <v>1</v>
      </c>
      <c r="J116" s="981">
        <v>7</v>
      </c>
      <c r="K116" s="981">
        <v>10</v>
      </c>
      <c r="L116" s="981">
        <v>26</v>
      </c>
    </row>
    <row r="117" spans="1:12" x14ac:dyDescent="0.25">
      <c r="A117" s="981" t="s">
        <v>206</v>
      </c>
      <c r="B117" s="981" t="s">
        <v>254</v>
      </c>
      <c r="C117" s="981"/>
      <c r="D117" s="981" t="s">
        <v>263</v>
      </c>
      <c r="E117" s="981">
        <v>52</v>
      </c>
      <c r="F117" s="981">
        <v>11</v>
      </c>
      <c r="G117" s="981">
        <v>7</v>
      </c>
      <c r="H117" s="981">
        <v>4</v>
      </c>
      <c r="I117" s="981">
        <v>1</v>
      </c>
      <c r="J117" s="981">
        <v>12</v>
      </c>
      <c r="K117" s="981">
        <v>6</v>
      </c>
      <c r="L117" s="981">
        <v>11</v>
      </c>
    </row>
    <row r="118" spans="1:12" x14ac:dyDescent="0.25">
      <c r="A118" s="981" t="s">
        <v>206</v>
      </c>
      <c r="B118" s="981" t="s">
        <v>26</v>
      </c>
      <c r="C118" s="981"/>
      <c r="D118" s="981" t="s">
        <v>263</v>
      </c>
      <c r="E118" s="981">
        <v>3856</v>
      </c>
      <c r="F118" s="981">
        <v>33</v>
      </c>
      <c r="G118" s="981">
        <v>7</v>
      </c>
      <c r="H118" s="981">
        <v>634</v>
      </c>
      <c r="I118" s="981">
        <v>2285</v>
      </c>
      <c r="J118" s="981">
        <v>103</v>
      </c>
      <c r="K118" s="981">
        <v>130</v>
      </c>
      <c r="L118" s="981">
        <v>664</v>
      </c>
    </row>
    <row r="119" spans="1:12" x14ac:dyDescent="0.25">
      <c r="A119" s="981" t="s">
        <v>205</v>
      </c>
      <c r="B119" s="981" t="s">
        <v>251</v>
      </c>
      <c r="C119" s="981"/>
      <c r="D119" s="981" t="s">
        <v>286</v>
      </c>
      <c r="E119" s="981">
        <v>3015.9047619047619</v>
      </c>
      <c r="F119" s="981">
        <v>0</v>
      </c>
      <c r="G119" s="981">
        <v>0</v>
      </c>
      <c r="H119" s="981">
        <v>509.34523809523807</v>
      </c>
      <c r="I119" s="981">
        <v>2199.9</v>
      </c>
      <c r="J119" s="981">
        <v>0</v>
      </c>
      <c r="K119" s="981">
        <v>2</v>
      </c>
      <c r="L119" s="981">
        <v>304.65952380952382</v>
      </c>
    </row>
    <row r="120" spans="1:12" x14ac:dyDescent="0.25">
      <c r="A120" s="981" t="s">
        <v>205</v>
      </c>
      <c r="B120" s="981" t="s">
        <v>251</v>
      </c>
      <c r="C120" s="981"/>
      <c r="D120" s="981" t="s">
        <v>35</v>
      </c>
      <c r="E120" s="981">
        <v>26</v>
      </c>
      <c r="F120" s="981"/>
      <c r="G120" s="981"/>
      <c r="H120" s="981">
        <v>5</v>
      </c>
      <c r="I120" s="981">
        <v>17</v>
      </c>
      <c r="J120" s="981"/>
      <c r="K120" s="981">
        <v>0</v>
      </c>
      <c r="L120" s="981">
        <v>4</v>
      </c>
    </row>
    <row r="121" spans="1:12" x14ac:dyDescent="0.25">
      <c r="A121" s="981" t="s">
        <v>205</v>
      </c>
      <c r="B121" s="981" t="s">
        <v>251</v>
      </c>
      <c r="C121" s="981"/>
      <c r="D121" s="981" t="s">
        <v>36</v>
      </c>
      <c r="E121" s="981">
        <v>65</v>
      </c>
      <c r="F121" s="981"/>
      <c r="G121" s="981"/>
      <c r="H121" s="981">
        <v>14</v>
      </c>
      <c r="I121" s="981">
        <v>48</v>
      </c>
      <c r="J121" s="981"/>
      <c r="K121" s="981">
        <v>0</v>
      </c>
      <c r="L121" s="981">
        <v>3</v>
      </c>
    </row>
    <row r="122" spans="1:12" x14ac:dyDescent="0.25">
      <c r="A122" s="981" t="s">
        <v>205</v>
      </c>
      <c r="B122" s="981" t="s">
        <v>251</v>
      </c>
      <c r="C122" s="981"/>
      <c r="D122" s="981" t="s">
        <v>38</v>
      </c>
      <c r="E122" s="981">
        <v>53</v>
      </c>
      <c r="F122" s="981"/>
      <c r="G122" s="981"/>
      <c r="H122" s="981">
        <v>7</v>
      </c>
      <c r="I122" s="981">
        <v>41</v>
      </c>
      <c r="J122" s="981"/>
      <c r="K122" s="981">
        <v>0</v>
      </c>
      <c r="L122" s="981">
        <v>5</v>
      </c>
    </row>
    <row r="123" spans="1:12" x14ac:dyDescent="0.25">
      <c r="A123" s="981" t="s">
        <v>205</v>
      </c>
      <c r="B123" s="981" t="s">
        <v>251</v>
      </c>
      <c r="C123" s="981"/>
      <c r="D123" s="981" t="s">
        <v>40</v>
      </c>
      <c r="E123" s="981">
        <v>27</v>
      </c>
      <c r="F123" s="981"/>
      <c r="G123" s="981"/>
      <c r="H123" s="981">
        <v>4</v>
      </c>
      <c r="I123" s="981">
        <v>19</v>
      </c>
      <c r="J123" s="981"/>
      <c r="K123" s="981">
        <v>0</v>
      </c>
      <c r="L123" s="981">
        <v>4</v>
      </c>
    </row>
    <row r="124" spans="1:12" x14ac:dyDescent="0.25">
      <c r="A124" s="981" t="s">
        <v>205</v>
      </c>
      <c r="B124" s="981" t="s">
        <v>251</v>
      </c>
      <c r="C124" s="981"/>
      <c r="D124" s="981" t="s">
        <v>41</v>
      </c>
      <c r="E124" s="981">
        <v>53</v>
      </c>
      <c r="F124" s="981"/>
      <c r="G124" s="981"/>
      <c r="H124" s="981">
        <v>10</v>
      </c>
      <c r="I124" s="981">
        <v>34</v>
      </c>
      <c r="J124" s="981"/>
      <c r="K124" s="981">
        <v>0</v>
      </c>
      <c r="L124" s="981">
        <v>9</v>
      </c>
    </row>
    <row r="125" spans="1:12" x14ac:dyDescent="0.25">
      <c r="A125" s="981" t="s">
        <v>205</v>
      </c>
      <c r="B125" s="981" t="s">
        <v>251</v>
      </c>
      <c r="C125" s="981"/>
      <c r="D125" s="981" t="s">
        <v>48</v>
      </c>
      <c r="E125" s="981">
        <v>95</v>
      </c>
      <c r="F125" s="981"/>
      <c r="G125" s="981"/>
      <c r="H125" s="981">
        <v>17</v>
      </c>
      <c r="I125" s="981">
        <v>66</v>
      </c>
      <c r="J125" s="981"/>
      <c r="K125" s="981">
        <v>0</v>
      </c>
      <c r="L125" s="981">
        <v>12</v>
      </c>
    </row>
    <row r="126" spans="1:12" x14ac:dyDescent="0.25">
      <c r="A126" s="981" t="s">
        <v>205</v>
      </c>
      <c r="B126" s="981" t="s">
        <v>251</v>
      </c>
      <c r="C126" s="981"/>
      <c r="D126" s="981" t="s">
        <v>42</v>
      </c>
      <c r="E126" s="981">
        <v>277.07499999999999</v>
      </c>
      <c r="F126" s="981"/>
      <c r="G126" s="981"/>
      <c r="H126" s="981">
        <v>47</v>
      </c>
      <c r="I126" s="981">
        <v>210.07499999999999</v>
      </c>
      <c r="J126" s="981"/>
      <c r="K126" s="981">
        <v>0</v>
      </c>
      <c r="L126" s="981">
        <v>20</v>
      </c>
    </row>
    <row r="127" spans="1:12" x14ac:dyDescent="0.25">
      <c r="A127" s="981" t="s">
        <v>205</v>
      </c>
      <c r="B127" s="981" t="s">
        <v>251</v>
      </c>
      <c r="C127" s="981"/>
      <c r="D127" s="981" t="s">
        <v>44</v>
      </c>
      <c r="E127" s="981">
        <v>70</v>
      </c>
      <c r="F127" s="981"/>
      <c r="G127" s="981"/>
      <c r="H127" s="981">
        <v>12</v>
      </c>
      <c r="I127" s="981">
        <v>48</v>
      </c>
      <c r="J127" s="981"/>
      <c r="K127" s="981">
        <v>1</v>
      </c>
      <c r="L127" s="981">
        <v>9</v>
      </c>
    </row>
    <row r="128" spans="1:12" x14ac:dyDescent="0.25">
      <c r="A128" s="981" t="s">
        <v>205</v>
      </c>
      <c r="B128" s="981" t="s">
        <v>251</v>
      </c>
      <c r="C128" s="981"/>
      <c r="D128" s="981" t="s">
        <v>45</v>
      </c>
      <c r="E128" s="981">
        <v>23</v>
      </c>
      <c r="F128" s="981"/>
      <c r="G128" s="981"/>
      <c r="H128" s="981">
        <v>4</v>
      </c>
      <c r="I128" s="981">
        <v>16</v>
      </c>
      <c r="J128" s="981"/>
      <c r="K128" s="981">
        <v>0</v>
      </c>
      <c r="L128" s="981">
        <v>3</v>
      </c>
    </row>
    <row r="129" spans="1:12" x14ac:dyDescent="0.25">
      <c r="A129" s="981" t="s">
        <v>205</v>
      </c>
      <c r="B129" s="981" t="s">
        <v>251</v>
      </c>
      <c r="C129" s="981"/>
      <c r="D129" s="981" t="s">
        <v>46</v>
      </c>
      <c r="E129" s="981">
        <v>31</v>
      </c>
      <c r="F129" s="981"/>
      <c r="G129" s="981"/>
      <c r="H129" s="981">
        <v>5</v>
      </c>
      <c r="I129" s="981">
        <v>21</v>
      </c>
      <c r="J129" s="981"/>
      <c r="K129" s="981">
        <v>0</v>
      </c>
      <c r="L129" s="981">
        <v>5</v>
      </c>
    </row>
    <row r="130" spans="1:12" x14ac:dyDescent="0.25">
      <c r="A130" s="981" t="s">
        <v>205</v>
      </c>
      <c r="B130" s="981" t="s">
        <v>251</v>
      </c>
      <c r="C130" s="981"/>
      <c r="D130" s="981" t="s">
        <v>47</v>
      </c>
      <c r="E130" s="981">
        <v>0</v>
      </c>
      <c r="F130" s="981"/>
      <c r="G130" s="981"/>
      <c r="H130" s="981">
        <v>0</v>
      </c>
      <c r="I130" s="981">
        <v>0</v>
      </c>
      <c r="J130" s="981"/>
      <c r="K130" s="981">
        <v>0</v>
      </c>
      <c r="L130" s="981">
        <v>0</v>
      </c>
    </row>
    <row r="131" spans="1:12" x14ac:dyDescent="0.25">
      <c r="A131" s="981" t="s">
        <v>205</v>
      </c>
      <c r="B131" s="981" t="s">
        <v>251</v>
      </c>
      <c r="C131" s="981"/>
      <c r="D131" s="981" t="s">
        <v>49</v>
      </c>
      <c r="E131" s="981">
        <v>75.095238095238102</v>
      </c>
      <c r="F131" s="981"/>
      <c r="G131" s="981"/>
      <c r="H131" s="981">
        <v>13.095238095238095</v>
      </c>
      <c r="I131" s="981">
        <v>50</v>
      </c>
      <c r="J131" s="981"/>
      <c r="K131" s="981">
        <v>0</v>
      </c>
      <c r="L131" s="981">
        <v>12</v>
      </c>
    </row>
    <row r="132" spans="1:12" x14ac:dyDescent="0.25">
      <c r="A132" s="981" t="s">
        <v>205</v>
      </c>
      <c r="B132" s="981" t="s">
        <v>251</v>
      </c>
      <c r="C132" s="981"/>
      <c r="D132" s="981" t="s">
        <v>51</v>
      </c>
      <c r="E132" s="981">
        <v>0</v>
      </c>
      <c r="F132" s="981"/>
      <c r="G132" s="981"/>
      <c r="H132" s="981">
        <v>0</v>
      </c>
      <c r="I132" s="981">
        <v>0</v>
      </c>
      <c r="J132" s="981"/>
      <c r="K132" s="981">
        <v>0</v>
      </c>
      <c r="L132" s="981">
        <v>0</v>
      </c>
    </row>
    <row r="133" spans="1:12" x14ac:dyDescent="0.25">
      <c r="A133" s="981" t="s">
        <v>205</v>
      </c>
      <c r="B133" s="981" t="s">
        <v>251</v>
      </c>
      <c r="C133" s="981"/>
      <c r="D133" s="981" t="s">
        <v>52</v>
      </c>
      <c r="E133" s="981">
        <v>72.75</v>
      </c>
      <c r="F133" s="981"/>
      <c r="G133" s="981"/>
      <c r="H133" s="981">
        <v>13</v>
      </c>
      <c r="I133" s="981">
        <v>55.75</v>
      </c>
      <c r="J133" s="981"/>
      <c r="K133" s="981">
        <v>0</v>
      </c>
      <c r="L133" s="981">
        <v>4</v>
      </c>
    </row>
    <row r="134" spans="1:12" x14ac:dyDescent="0.25">
      <c r="A134" s="981" t="s">
        <v>205</v>
      </c>
      <c r="B134" s="981" t="s">
        <v>251</v>
      </c>
      <c r="C134" s="981"/>
      <c r="D134" s="981" t="s">
        <v>54</v>
      </c>
      <c r="E134" s="981">
        <v>69.075000000000003</v>
      </c>
      <c r="F134" s="981"/>
      <c r="G134" s="981"/>
      <c r="H134" s="981">
        <v>12</v>
      </c>
      <c r="I134" s="981">
        <v>48.075000000000003</v>
      </c>
      <c r="J134" s="981"/>
      <c r="K134" s="981">
        <v>0</v>
      </c>
      <c r="L134" s="981">
        <v>9</v>
      </c>
    </row>
    <row r="135" spans="1:12" x14ac:dyDescent="0.25">
      <c r="A135" s="981" t="s">
        <v>205</v>
      </c>
      <c r="B135" s="981" t="s">
        <v>251</v>
      </c>
      <c r="C135" s="981"/>
      <c r="D135" s="981" t="s">
        <v>55</v>
      </c>
      <c r="E135" s="981">
        <v>0</v>
      </c>
      <c r="F135" s="981"/>
      <c r="G135" s="981"/>
      <c r="H135" s="981">
        <v>0</v>
      </c>
      <c r="I135" s="981">
        <v>0</v>
      </c>
      <c r="J135" s="981"/>
      <c r="K135" s="981">
        <v>0</v>
      </c>
      <c r="L135" s="981">
        <v>0</v>
      </c>
    </row>
    <row r="136" spans="1:12" x14ac:dyDescent="0.25">
      <c r="A136" s="981" t="s">
        <v>205</v>
      </c>
      <c r="B136" s="981" t="s">
        <v>251</v>
      </c>
      <c r="C136" s="981"/>
      <c r="D136" s="981" t="s">
        <v>56</v>
      </c>
      <c r="E136" s="981">
        <v>55</v>
      </c>
      <c r="F136" s="981"/>
      <c r="G136" s="981"/>
      <c r="H136" s="981">
        <v>10</v>
      </c>
      <c r="I136" s="981">
        <v>40</v>
      </c>
      <c r="J136" s="981"/>
      <c r="K136" s="981">
        <v>0</v>
      </c>
      <c r="L136" s="981">
        <v>5</v>
      </c>
    </row>
    <row r="137" spans="1:12" x14ac:dyDescent="0.25">
      <c r="A137" s="981" t="s">
        <v>205</v>
      </c>
      <c r="B137" s="981" t="s">
        <v>251</v>
      </c>
      <c r="C137" s="981"/>
      <c r="D137" s="981" t="s">
        <v>57</v>
      </c>
      <c r="E137" s="981">
        <v>178</v>
      </c>
      <c r="F137" s="981"/>
      <c r="G137" s="981"/>
      <c r="H137" s="981">
        <v>28</v>
      </c>
      <c r="I137" s="981">
        <v>132</v>
      </c>
      <c r="J137" s="981"/>
      <c r="K137" s="981">
        <v>0</v>
      </c>
      <c r="L137" s="981">
        <v>18</v>
      </c>
    </row>
    <row r="138" spans="1:12" x14ac:dyDescent="0.25">
      <c r="A138" s="981" t="s">
        <v>205</v>
      </c>
      <c r="B138" s="981" t="s">
        <v>251</v>
      </c>
      <c r="C138" s="981"/>
      <c r="D138" s="981" t="s">
        <v>58</v>
      </c>
      <c r="E138" s="981">
        <v>51</v>
      </c>
      <c r="F138" s="981"/>
      <c r="G138" s="981"/>
      <c r="H138" s="981">
        <v>9</v>
      </c>
      <c r="I138" s="981">
        <v>40</v>
      </c>
      <c r="J138" s="981"/>
      <c r="K138" s="981">
        <v>0</v>
      </c>
      <c r="L138" s="981">
        <v>2</v>
      </c>
    </row>
    <row r="139" spans="1:12" x14ac:dyDescent="0.25">
      <c r="A139" s="981" t="s">
        <v>205</v>
      </c>
      <c r="B139" s="981" t="s">
        <v>251</v>
      </c>
      <c r="C139" s="981"/>
      <c r="D139" s="981" t="s">
        <v>31</v>
      </c>
      <c r="E139" s="981">
        <v>142</v>
      </c>
      <c r="F139" s="981"/>
      <c r="G139" s="981"/>
      <c r="H139" s="981">
        <v>22</v>
      </c>
      <c r="I139" s="981">
        <v>107</v>
      </c>
      <c r="J139" s="981"/>
      <c r="K139" s="981">
        <v>0</v>
      </c>
      <c r="L139" s="981">
        <v>13</v>
      </c>
    </row>
    <row r="140" spans="1:12" x14ac:dyDescent="0.25">
      <c r="A140" s="981" t="s">
        <v>205</v>
      </c>
      <c r="B140" s="981" t="s">
        <v>251</v>
      </c>
      <c r="C140" s="981"/>
      <c r="D140" s="981" t="s">
        <v>32</v>
      </c>
      <c r="E140" s="981">
        <v>32</v>
      </c>
      <c r="F140" s="981"/>
      <c r="G140" s="981"/>
      <c r="H140" s="981">
        <v>6</v>
      </c>
      <c r="I140" s="981">
        <v>22</v>
      </c>
      <c r="J140" s="981"/>
      <c r="K140" s="981">
        <v>0</v>
      </c>
      <c r="L140" s="981">
        <v>4</v>
      </c>
    </row>
    <row r="141" spans="1:12" x14ac:dyDescent="0.25">
      <c r="A141" s="981" t="s">
        <v>205</v>
      </c>
      <c r="B141" s="981" t="s">
        <v>251</v>
      </c>
      <c r="C141" s="981"/>
      <c r="D141" s="981" t="s">
        <v>34</v>
      </c>
      <c r="E141" s="981">
        <v>55</v>
      </c>
      <c r="F141" s="981"/>
      <c r="G141" s="981"/>
      <c r="H141" s="981">
        <v>8</v>
      </c>
      <c r="I141" s="981">
        <v>37</v>
      </c>
      <c r="J141" s="981"/>
      <c r="K141" s="981">
        <v>0</v>
      </c>
      <c r="L141" s="981">
        <v>10</v>
      </c>
    </row>
    <row r="142" spans="1:12" x14ac:dyDescent="0.25">
      <c r="A142" s="981" t="s">
        <v>205</v>
      </c>
      <c r="B142" s="981" t="s">
        <v>251</v>
      </c>
      <c r="C142" s="981"/>
      <c r="D142" s="981" t="s">
        <v>262</v>
      </c>
      <c r="E142" s="981">
        <v>315</v>
      </c>
      <c r="F142" s="981"/>
      <c r="G142" s="981"/>
      <c r="H142" s="981">
        <v>48</v>
      </c>
      <c r="I142" s="981">
        <v>248</v>
      </c>
      <c r="J142" s="981"/>
      <c r="K142" s="981">
        <v>0</v>
      </c>
      <c r="L142" s="981">
        <v>19</v>
      </c>
    </row>
    <row r="143" spans="1:12" x14ac:dyDescent="0.25">
      <c r="A143" s="981" t="s">
        <v>205</v>
      </c>
      <c r="B143" s="981" t="s">
        <v>251</v>
      </c>
      <c r="C143" s="981"/>
      <c r="D143" s="981" t="s">
        <v>53</v>
      </c>
      <c r="E143" s="981">
        <v>92</v>
      </c>
      <c r="F143" s="981"/>
      <c r="G143" s="981"/>
      <c r="H143" s="981">
        <v>15</v>
      </c>
      <c r="I143" s="981">
        <v>62</v>
      </c>
      <c r="J143" s="981"/>
      <c r="K143" s="981">
        <v>0</v>
      </c>
      <c r="L143" s="981">
        <v>15</v>
      </c>
    </row>
    <row r="144" spans="1:12" x14ac:dyDescent="0.25">
      <c r="A144" s="981" t="s">
        <v>205</v>
      </c>
      <c r="B144" s="981" t="s">
        <v>251</v>
      </c>
      <c r="C144" s="981"/>
      <c r="D144" s="981" t="s">
        <v>59</v>
      </c>
      <c r="E144" s="981">
        <v>70</v>
      </c>
      <c r="F144" s="981"/>
      <c r="G144" s="981"/>
      <c r="H144" s="981">
        <v>11</v>
      </c>
      <c r="I144" s="981">
        <v>49</v>
      </c>
      <c r="J144" s="981"/>
      <c r="K144" s="981">
        <v>0</v>
      </c>
      <c r="L144" s="981">
        <v>10</v>
      </c>
    </row>
    <row r="145" spans="1:12" x14ac:dyDescent="0.25">
      <c r="A145" s="981" t="s">
        <v>205</v>
      </c>
      <c r="B145" s="981" t="s">
        <v>251</v>
      </c>
      <c r="C145" s="981"/>
      <c r="D145" s="981" t="s">
        <v>60</v>
      </c>
      <c r="E145" s="981">
        <v>61</v>
      </c>
      <c r="F145" s="981"/>
      <c r="G145" s="981"/>
      <c r="H145" s="981">
        <v>9</v>
      </c>
      <c r="I145" s="981">
        <v>44</v>
      </c>
      <c r="J145" s="981"/>
      <c r="K145" s="981">
        <v>0</v>
      </c>
      <c r="L145" s="981">
        <v>8</v>
      </c>
    </row>
    <row r="146" spans="1:12" x14ac:dyDescent="0.25">
      <c r="A146" s="981" t="s">
        <v>205</v>
      </c>
      <c r="B146" s="981" t="s">
        <v>251</v>
      </c>
      <c r="C146" s="981"/>
      <c r="D146" s="981" t="s">
        <v>33</v>
      </c>
      <c r="E146" s="981">
        <v>36</v>
      </c>
      <c r="F146" s="981"/>
      <c r="G146" s="981"/>
      <c r="H146" s="981">
        <v>8</v>
      </c>
      <c r="I146" s="981">
        <v>25</v>
      </c>
      <c r="J146" s="981"/>
      <c r="K146" s="981">
        <v>0</v>
      </c>
      <c r="L146" s="981">
        <v>3</v>
      </c>
    </row>
    <row r="147" spans="1:12" x14ac:dyDescent="0.25">
      <c r="A147" s="981" t="s">
        <v>205</v>
      </c>
      <c r="B147" s="981" t="s">
        <v>251</v>
      </c>
      <c r="C147" s="981"/>
      <c r="D147" s="981" t="s">
        <v>37</v>
      </c>
      <c r="E147" s="981">
        <v>176</v>
      </c>
      <c r="F147" s="981"/>
      <c r="G147" s="981"/>
      <c r="H147" s="981">
        <v>26</v>
      </c>
      <c r="I147" s="981">
        <v>135</v>
      </c>
      <c r="J147" s="981"/>
      <c r="K147" s="981">
        <v>1</v>
      </c>
      <c r="L147" s="981">
        <v>14</v>
      </c>
    </row>
    <row r="148" spans="1:12" x14ac:dyDescent="0.25">
      <c r="A148" s="981" t="s">
        <v>205</v>
      </c>
      <c r="B148" s="981" t="s">
        <v>251</v>
      </c>
      <c r="C148" s="981"/>
      <c r="D148" s="981" t="s">
        <v>50</v>
      </c>
      <c r="E148" s="981">
        <v>179.75</v>
      </c>
      <c r="F148" s="981"/>
      <c r="G148" s="981"/>
      <c r="H148" s="981">
        <v>27.75</v>
      </c>
      <c r="I148" s="981">
        <v>136</v>
      </c>
      <c r="J148" s="981"/>
      <c r="K148" s="981">
        <v>0</v>
      </c>
      <c r="L148" s="981">
        <v>16</v>
      </c>
    </row>
    <row r="149" spans="1:12" x14ac:dyDescent="0.25">
      <c r="A149" s="981" t="s">
        <v>205</v>
      </c>
      <c r="B149" s="981" t="s">
        <v>251</v>
      </c>
      <c r="C149" s="981"/>
      <c r="D149" s="981" t="s">
        <v>39</v>
      </c>
      <c r="E149" s="981">
        <v>70</v>
      </c>
      <c r="F149" s="981"/>
      <c r="G149" s="981"/>
      <c r="H149" s="981">
        <v>9</v>
      </c>
      <c r="I149" s="981">
        <v>46</v>
      </c>
      <c r="J149" s="981"/>
      <c r="K149" s="981">
        <v>0</v>
      </c>
      <c r="L149" s="981">
        <v>15</v>
      </c>
    </row>
    <row r="150" spans="1:12" x14ac:dyDescent="0.25">
      <c r="A150" s="981" t="s">
        <v>205</v>
      </c>
      <c r="B150" s="981" t="s">
        <v>251</v>
      </c>
      <c r="C150" s="981"/>
      <c r="D150" s="981" t="s">
        <v>124</v>
      </c>
      <c r="E150" s="981">
        <v>68</v>
      </c>
      <c r="F150" s="981"/>
      <c r="G150" s="981"/>
      <c r="H150" s="981">
        <v>11</v>
      </c>
      <c r="I150" s="981">
        <v>53</v>
      </c>
      <c r="J150" s="981"/>
      <c r="K150" s="981">
        <v>0</v>
      </c>
      <c r="L150" s="981">
        <v>4</v>
      </c>
    </row>
    <row r="151" spans="1:12" x14ac:dyDescent="0.25">
      <c r="A151" s="981" t="s">
        <v>205</v>
      </c>
      <c r="B151" s="981" t="s">
        <v>251</v>
      </c>
      <c r="C151" s="981"/>
      <c r="D151" s="981" t="s">
        <v>43</v>
      </c>
      <c r="E151" s="981">
        <v>498.15952380952382</v>
      </c>
      <c r="F151" s="981"/>
      <c r="G151" s="981"/>
      <c r="H151" s="981">
        <v>98.5</v>
      </c>
      <c r="I151" s="981">
        <v>350</v>
      </c>
      <c r="J151" s="981"/>
      <c r="K151" s="981">
        <v>0</v>
      </c>
      <c r="L151" s="981">
        <v>49.659523809523812</v>
      </c>
    </row>
    <row r="152" spans="1:12" x14ac:dyDescent="0.25">
      <c r="A152" s="981" t="s">
        <v>205</v>
      </c>
      <c r="B152" s="981" t="s">
        <v>252</v>
      </c>
      <c r="C152" s="981"/>
      <c r="D152" s="981" t="s">
        <v>286</v>
      </c>
      <c r="E152" s="981">
        <v>393.54523809523812</v>
      </c>
      <c r="F152" s="981">
        <v>14</v>
      </c>
      <c r="G152" s="981">
        <v>0</v>
      </c>
      <c r="H152" s="981">
        <v>50</v>
      </c>
      <c r="I152" s="981">
        <v>34.885714285714286</v>
      </c>
      <c r="J152" s="981">
        <v>62</v>
      </c>
      <c r="K152" s="981">
        <v>91</v>
      </c>
      <c r="L152" s="981">
        <v>141.65952380952382</v>
      </c>
    </row>
    <row r="153" spans="1:12" x14ac:dyDescent="0.25">
      <c r="A153" s="981" t="s">
        <v>205</v>
      </c>
      <c r="B153" s="981" t="s">
        <v>252</v>
      </c>
      <c r="C153" s="981"/>
      <c r="D153" s="981" t="s">
        <v>31</v>
      </c>
      <c r="E153" s="981">
        <v>16</v>
      </c>
      <c r="F153" s="981">
        <v>1</v>
      </c>
      <c r="G153" s="981"/>
      <c r="H153" s="981">
        <v>0</v>
      </c>
      <c r="I153" s="981">
        <v>3</v>
      </c>
      <c r="J153" s="981">
        <v>3</v>
      </c>
      <c r="K153" s="981">
        <v>2</v>
      </c>
      <c r="L153" s="981">
        <v>7</v>
      </c>
    </row>
    <row r="154" spans="1:12" x14ac:dyDescent="0.25">
      <c r="A154" s="981" t="s">
        <v>205</v>
      </c>
      <c r="B154" s="981" t="s">
        <v>252</v>
      </c>
      <c r="C154" s="981"/>
      <c r="D154" s="981" t="s">
        <v>64</v>
      </c>
      <c r="E154" s="981">
        <v>27</v>
      </c>
      <c r="F154" s="981">
        <v>1</v>
      </c>
      <c r="G154" s="981"/>
      <c r="H154" s="981">
        <v>7</v>
      </c>
      <c r="I154" s="981">
        <v>1</v>
      </c>
      <c r="J154" s="981">
        <v>2</v>
      </c>
      <c r="K154" s="981">
        <v>6</v>
      </c>
      <c r="L154" s="981">
        <v>10</v>
      </c>
    </row>
    <row r="155" spans="1:12" x14ac:dyDescent="0.25">
      <c r="A155" s="981" t="s">
        <v>205</v>
      </c>
      <c r="B155" s="981" t="s">
        <v>252</v>
      </c>
      <c r="C155" s="981"/>
      <c r="D155" s="981" t="s">
        <v>65</v>
      </c>
      <c r="E155" s="981">
        <v>25</v>
      </c>
      <c r="F155" s="981">
        <v>1</v>
      </c>
      <c r="G155" s="981"/>
      <c r="H155" s="981">
        <v>2</v>
      </c>
      <c r="I155" s="981">
        <v>4</v>
      </c>
      <c r="J155" s="981">
        <v>5</v>
      </c>
      <c r="K155" s="981">
        <v>7</v>
      </c>
      <c r="L155" s="981">
        <v>6</v>
      </c>
    </row>
    <row r="156" spans="1:12" x14ac:dyDescent="0.25">
      <c r="A156" s="981" t="s">
        <v>205</v>
      </c>
      <c r="B156" s="981" t="s">
        <v>252</v>
      </c>
      <c r="C156" s="981"/>
      <c r="D156" s="981" t="s">
        <v>36</v>
      </c>
      <c r="E156" s="981">
        <v>19</v>
      </c>
      <c r="F156" s="981">
        <v>0</v>
      </c>
      <c r="G156" s="981"/>
      <c r="H156" s="981">
        <v>0</v>
      </c>
      <c r="I156" s="981">
        <v>2</v>
      </c>
      <c r="J156" s="981">
        <v>2</v>
      </c>
      <c r="K156" s="981">
        <v>5</v>
      </c>
      <c r="L156" s="981">
        <v>10</v>
      </c>
    </row>
    <row r="157" spans="1:12" x14ac:dyDescent="0.25">
      <c r="A157" s="981" t="s">
        <v>205</v>
      </c>
      <c r="B157" s="981" t="s">
        <v>252</v>
      </c>
      <c r="C157" s="981"/>
      <c r="D157" s="981" t="s">
        <v>68</v>
      </c>
      <c r="E157" s="981">
        <v>28.885714285714286</v>
      </c>
      <c r="F157" s="981">
        <v>1</v>
      </c>
      <c r="G157" s="981"/>
      <c r="H157" s="981">
        <v>4</v>
      </c>
      <c r="I157" s="981">
        <v>1.8857142857142857</v>
      </c>
      <c r="J157" s="981">
        <v>6</v>
      </c>
      <c r="K157" s="981">
        <v>7</v>
      </c>
      <c r="L157" s="981">
        <v>9</v>
      </c>
    </row>
    <row r="158" spans="1:12" x14ac:dyDescent="0.25">
      <c r="A158" s="981" t="s">
        <v>205</v>
      </c>
      <c r="B158" s="981" t="s">
        <v>252</v>
      </c>
      <c r="C158" s="981"/>
      <c r="D158" s="981" t="s">
        <v>69</v>
      </c>
      <c r="E158" s="981">
        <v>38</v>
      </c>
      <c r="F158" s="981">
        <v>1</v>
      </c>
      <c r="G158" s="981"/>
      <c r="H158" s="981">
        <v>10</v>
      </c>
      <c r="I158" s="981">
        <v>5</v>
      </c>
      <c r="J158" s="981">
        <v>5</v>
      </c>
      <c r="K158" s="981">
        <v>6</v>
      </c>
      <c r="L158" s="981">
        <v>11</v>
      </c>
    </row>
    <row r="159" spans="1:12" x14ac:dyDescent="0.25">
      <c r="A159" s="981" t="s">
        <v>205</v>
      </c>
      <c r="B159" s="981" t="s">
        <v>252</v>
      </c>
      <c r="C159" s="981"/>
      <c r="D159" s="981" t="s">
        <v>70</v>
      </c>
      <c r="E159" s="981">
        <v>17</v>
      </c>
      <c r="F159" s="981">
        <v>1</v>
      </c>
      <c r="G159" s="981"/>
      <c r="H159" s="981">
        <v>1</v>
      </c>
      <c r="I159" s="981">
        <v>3</v>
      </c>
      <c r="J159" s="981">
        <v>2</v>
      </c>
      <c r="K159" s="981">
        <v>3</v>
      </c>
      <c r="L159" s="981">
        <v>7</v>
      </c>
    </row>
    <row r="160" spans="1:12" x14ac:dyDescent="0.25">
      <c r="A160" s="981" t="s">
        <v>205</v>
      </c>
      <c r="B160" s="981" t="s">
        <v>252</v>
      </c>
      <c r="C160" s="981"/>
      <c r="D160" s="981" t="s">
        <v>178</v>
      </c>
      <c r="E160" s="981">
        <v>27</v>
      </c>
      <c r="F160" s="981">
        <v>0</v>
      </c>
      <c r="G160" s="981"/>
      <c r="H160" s="981">
        <v>5</v>
      </c>
      <c r="I160" s="981">
        <v>4</v>
      </c>
      <c r="J160" s="981">
        <v>7</v>
      </c>
      <c r="K160" s="981">
        <v>2</v>
      </c>
      <c r="L160" s="981">
        <v>9</v>
      </c>
    </row>
    <row r="161" spans="1:12" x14ac:dyDescent="0.25">
      <c r="A161" s="981" t="s">
        <v>205</v>
      </c>
      <c r="B161" s="981" t="s">
        <v>252</v>
      </c>
      <c r="C161" s="981"/>
      <c r="D161" s="981" t="s">
        <v>71</v>
      </c>
      <c r="E161" s="981">
        <v>25</v>
      </c>
      <c r="F161" s="981">
        <v>1</v>
      </c>
      <c r="G161" s="981"/>
      <c r="H161" s="981">
        <v>1</v>
      </c>
      <c r="I161" s="981">
        <v>2</v>
      </c>
      <c r="J161" s="981">
        <v>2</v>
      </c>
      <c r="K161" s="981">
        <v>3</v>
      </c>
      <c r="L161" s="981">
        <v>16</v>
      </c>
    </row>
    <row r="162" spans="1:12" x14ac:dyDescent="0.25">
      <c r="A162" s="981" t="s">
        <v>205</v>
      </c>
      <c r="B162" s="981" t="s">
        <v>252</v>
      </c>
      <c r="C162" s="981"/>
      <c r="D162" s="981" t="s">
        <v>124</v>
      </c>
      <c r="E162" s="981">
        <v>31.659523809523812</v>
      </c>
      <c r="F162" s="981">
        <v>1</v>
      </c>
      <c r="G162" s="981"/>
      <c r="H162" s="981">
        <v>1</v>
      </c>
      <c r="I162" s="981">
        <v>2</v>
      </c>
      <c r="J162" s="981">
        <v>5</v>
      </c>
      <c r="K162" s="981">
        <v>8</v>
      </c>
      <c r="L162" s="981">
        <v>14.65952380952381</v>
      </c>
    </row>
    <row r="163" spans="1:12" x14ac:dyDescent="0.25">
      <c r="A163" s="981" t="s">
        <v>205</v>
      </c>
      <c r="B163" s="981" t="s">
        <v>252</v>
      </c>
      <c r="C163" s="981"/>
      <c r="D163" s="981" t="s">
        <v>72</v>
      </c>
      <c r="E163" s="981">
        <v>29</v>
      </c>
      <c r="F163" s="981">
        <v>1</v>
      </c>
      <c r="G163" s="981"/>
      <c r="H163" s="981">
        <v>7</v>
      </c>
      <c r="I163" s="981">
        <v>0</v>
      </c>
      <c r="J163" s="981">
        <v>6</v>
      </c>
      <c r="K163" s="981">
        <v>8</v>
      </c>
      <c r="L163" s="981">
        <v>7</v>
      </c>
    </row>
    <row r="164" spans="1:12" x14ac:dyDescent="0.25">
      <c r="A164" s="981" t="s">
        <v>205</v>
      </c>
      <c r="B164" s="981" t="s">
        <v>252</v>
      </c>
      <c r="C164" s="981"/>
      <c r="D164" s="981" t="s">
        <v>50</v>
      </c>
      <c r="E164" s="981">
        <v>20</v>
      </c>
      <c r="F164" s="981">
        <v>1</v>
      </c>
      <c r="G164" s="981"/>
      <c r="H164" s="981">
        <v>3</v>
      </c>
      <c r="I164" s="981">
        <v>0</v>
      </c>
      <c r="J164" s="981">
        <v>3</v>
      </c>
      <c r="K164" s="981">
        <v>4</v>
      </c>
      <c r="L164" s="981">
        <v>9</v>
      </c>
    </row>
    <row r="165" spans="1:12" x14ac:dyDescent="0.25">
      <c r="A165" s="981" t="s">
        <v>205</v>
      </c>
      <c r="B165" s="981" t="s">
        <v>252</v>
      </c>
      <c r="C165" s="981"/>
      <c r="D165" s="981" t="s">
        <v>57</v>
      </c>
      <c r="E165" s="981">
        <v>16</v>
      </c>
      <c r="F165" s="981">
        <v>1</v>
      </c>
      <c r="G165" s="981"/>
      <c r="H165" s="981">
        <v>3</v>
      </c>
      <c r="I165" s="981">
        <v>1</v>
      </c>
      <c r="J165" s="981">
        <v>3</v>
      </c>
      <c r="K165" s="981">
        <v>5</v>
      </c>
      <c r="L165" s="981">
        <v>3</v>
      </c>
    </row>
    <row r="166" spans="1:12" x14ac:dyDescent="0.25">
      <c r="A166" s="981" t="s">
        <v>205</v>
      </c>
      <c r="B166" s="981" t="s">
        <v>252</v>
      </c>
      <c r="C166" s="981"/>
      <c r="D166" s="981" t="s">
        <v>73</v>
      </c>
      <c r="E166" s="981">
        <v>13</v>
      </c>
      <c r="F166" s="981">
        <v>0</v>
      </c>
      <c r="G166" s="981"/>
      <c r="H166" s="981">
        <v>2</v>
      </c>
      <c r="I166" s="981">
        <v>1</v>
      </c>
      <c r="J166" s="981">
        <v>2</v>
      </c>
      <c r="K166" s="981">
        <v>5</v>
      </c>
      <c r="L166" s="981">
        <v>3</v>
      </c>
    </row>
    <row r="167" spans="1:12" x14ac:dyDescent="0.25">
      <c r="A167" s="981" t="s">
        <v>205</v>
      </c>
      <c r="B167" s="981" t="s">
        <v>252</v>
      </c>
      <c r="C167" s="981"/>
      <c r="D167" s="981" t="s">
        <v>74</v>
      </c>
      <c r="E167" s="981">
        <v>11</v>
      </c>
      <c r="F167" s="981">
        <v>1</v>
      </c>
      <c r="G167" s="981"/>
      <c r="H167" s="981">
        <v>1</v>
      </c>
      <c r="I167" s="981">
        <v>0</v>
      </c>
      <c r="J167" s="981">
        <v>3</v>
      </c>
      <c r="K167" s="981">
        <v>5</v>
      </c>
      <c r="L167" s="981">
        <v>1</v>
      </c>
    </row>
    <row r="168" spans="1:12" x14ac:dyDescent="0.25">
      <c r="A168" s="981" t="s">
        <v>205</v>
      </c>
      <c r="B168" s="981" t="s">
        <v>252</v>
      </c>
      <c r="C168" s="981"/>
      <c r="D168" s="981" t="s">
        <v>67</v>
      </c>
      <c r="E168" s="981">
        <v>24</v>
      </c>
      <c r="F168" s="981">
        <v>1</v>
      </c>
      <c r="G168" s="981"/>
      <c r="H168" s="981">
        <v>0</v>
      </c>
      <c r="I168" s="981">
        <v>1</v>
      </c>
      <c r="J168" s="981">
        <v>4</v>
      </c>
      <c r="K168" s="981">
        <v>10</v>
      </c>
      <c r="L168" s="981">
        <v>8</v>
      </c>
    </row>
    <row r="169" spans="1:12" x14ac:dyDescent="0.25">
      <c r="A169" s="981" t="s">
        <v>205</v>
      </c>
      <c r="B169" s="981" t="s">
        <v>252</v>
      </c>
      <c r="C169" s="981"/>
      <c r="D169" s="981" t="s">
        <v>43</v>
      </c>
      <c r="E169" s="981">
        <v>26</v>
      </c>
      <c r="F169" s="981">
        <v>1</v>
      </c>
      <c r="G169" s="981"/>
      <c r="H169" s="981">
        <v>3</v>
      </c>
      <c r="I169" s="981">
        <v>4</v>
      </c>
      <c r="J169" s="981">
        <v>2</v>
      </c>
      <c r="K169" s="981">
        <v>5</v>
      </c>
      <c r="L169" s="981">
        <v>11</v>
      </c>
    </row>
    <row r="170" spans="1:12" x14ac:dyDescent="0.25">
      <c r="A170" s="981" t="s">
        <v>205</v>
      </c>
      <c r="B170" s="981" t="s">
        <v>253</v>
      </c>
      <c r="C170" s="981"/>
      <c r="D170" s="981" t="s">
        <v>176</v>
      </c>
      <c r="E170" s="981">
        <v>16</v>
      </c>
      <c r="F170" s="981">
        <v>1</v>
      </c>
      <c r="G170" s="981"/>
      <c r="H170" s="981">
        <v>3</v>
      </c>
      <c r="I170" s="981">
        <v>0</v>
      </c>
      <c r="J170" s="981">
        <v>5</v>
      </c>
      <c r="K170" s="981">
        <v>3</v>
      </c>
      <c r="L170" s="981">
        <v>4</v>
      </c>
    </row>
    <row r="171" spans="1:12" x14ac:dyDescent="0.25">
      <c r="A171" s="981" t="s">
        <v>205</v>
      </c>
      <c r="B171" s="981" t="s">
        <v>253</v>
      </c>
      <c r="C171" s="981"/>
      <c r="D171" s="981" t="s">
        <v>177</v>
      </c>
      <c r="E171" s="981">
        <v>25</v>
      </c>
      <c r="F171" s="981">
        <v>1</v>
      </c>
      <c r="G171" s="981"/>
      <c r="H171" s="981">
        <v>2</v>
      </c>
      <c r="I171" s="981">
        <v>0</v>
      </c>
      <c r="J171" s="981">
        <v>2</v>
      </c>
      <c r="K171" s="981">
        <v>3</v>
      </c>
      <c r="L171" s="981">
        <v>17</v>
      </c>
    </row>
    <row r="172" spans="1:12" x14ac:dyDescent="0.25">
      <c r="A172" s="981" t="s">
        <v>205</v>
      </c>
      <c r="B172" s="981" t="s">
        <v>253</v>
      </c>
      <c r="C172" s="981"/>
      <c r="D172" s="981" t="s">
        <v>175</v>
      </c>
      <c r="E172" s="981">
        <v>44</v>
      </c>
      <c r="F172" s="981">
        <v>1</v>
      </c>
      <c r="G172" s="981"/>
      <c r="H172" s="981">
        <v>8</v>
      </c>
      <c r="I172" s="981">
        <v>0</v>
      </c>
      <c r="J172" s="981">
        <v>2</v>
      </c>
      <c r="K172" s="981">
        <v>8</v>
      </c>
      <c r="L172" s="981">
        <v>25</v>
      </c>
    </row>
    <row r="173" spans="1:12" x14ac:dyDescent="0.25">
      <c r="A173" s="981" t="s">
        <v>205</v>
      </c>
      <c r="B173" s="981" t="s">
        <v>254</v>
      </c>
      <c r="C173" s="981"/>
      <c r="D173" s="981" t="s">
        <v>263</v>
      </c>
      <c r="E173" s="981">
        <v>195</v>
      </c>
      <c r="F173" s="981">
        <v>18</v>
      </c>
      <c r="G173" s="981">
        <v>10</v>
      </c>
      <c r="H173" s="981">
        <v>26</v>
      </c>
      <c r="I173" s="981">
        <v>16</v>
      </c>
      <c r="J173" s="981">
        <v>19</v>
      </c>
      <c r="K173" s="981">
        <v>19</v>
      </c>
      <c r="L173" s="981">
        <v>93</v>
      </c>
    </row>
    <row r="174" spans="1:12" x14ac:dyDescent="0.25">
      <c r="A174" s="981" t="s">
        <v>205</v>
      </c>
      <c r="B174" s="981" t="s">
        <v>923</v>
      </c>
      <c r="C174" s="981"/>
      <c r="D174" s="981" t="s">
        <v>286</v>
      </c>
      <c r="E174" s="981">
        <v>85</v>
      </c>
      <c r="F174" s="981">
        <v>3</v>
      </c>
      <c r="G174" s="981">
        <v>0</v>
      </c>
      <c r="H174" s="981">
        <v>13</v>
      </c>
      <c r="I174" s="981">
        <v>0</v>
      </c>
      <c r="J174" s="981">
        <v>9</v>
      </c>
      <c r="K174" s="981">
        <v>14</v>
      </c>
      <c r="L174" s="981">
        <v>46</v>
      </c>
    </row>
    <row r="175" spans="1:12" x14ac:dyDescent="0.25">
      <c r="A175" s="981" t="s">
        <v>205</v>
      </c>
      <c r="B175" s="981" t="s">
        <v>26</v>
      </c>
      <c r="C175" s="981"/>
      <c r="D175" s="981" t="s">
        <v>263</v>
      </c>
      <c r="E175" s="981">
        <v>3690</v>
      </c>
      <c r="F175" s="981">
        <v>35</v>
      </c>
      <c r="G175" s="981">
        <v>4</v>
      </c>
      <c r="H175" s="981">
        <v>598.34523809523807</v>
      </c>
      <c r="I175" s="981">
        <v>2250.7857142857142</v>
      </c>
      <c r="J175" s="981">
        <v>90</v>
      </c>
      <c r="K175" s="981">
        <v>126</v>
      </c>
      <c r="L175" s="981">
        <v>585.31904761904764</v>
      </c>
    </row>
    <row r="176" spans="1:12" x14ac:dyDescent="0.25">
      <c r="A176" s="981" t="s">
        <v>278</v>
      </c>
      <c r="B176" s="981" t="s">
        <v>251</v>
      </c>
      <c r="C176" s="981"/>
      <c r="D176" s="981" t="s">
        <v>286</v>
      </c>
      <c r="E176" s="981">
        <v>2923</v>
      </c>
      <c r="F176" s="981">
        <v>0</v>
      </c>
      <c r="G176" s="981">
        <v>0</v>
      </c>
      <c r="H176" s="981">
        <v>552</v>
      </c>
      <c r="I176" s="981">
        <v>2027</v>
      </c>
      <c r="J176" s="981">
        <v>0</v>
      </c>
      <c r="K176" s="981">
        <v>1</v>
      </c>
      <c r="L176" s="981">
        <v>343</v>
      </c>
    </row>
    <row r="177" spans="1:12" x14ac:dyDescent="0.25">
      <c r="A177" s="981" t="s">
        <v>278</v>
      </c>
      <c r="B177" s="981" t="s">
        <v>251</v>
      </c>
      <c r="C177" s="981"/>
      <c r="D177" s="981" t="s">
        <v>35</v>
      </c>
      <c r="E177" s="981">
        <v>22</v>
      </c>
      <c r="F177" s="981">
        <v>0</v>
      </c>
      <c r="G177" s="981">
        <v>0</v>
      </c>
      <c r="H177" s="981">
        <v>4</v>
      </c>
      <c r="I177" s="981">
        <v>14</v>
      </c>
      <c r="J177" s="981">
        <v>0</v>
      </c>
      <c r="K177" s="981">
        <v>0</v>
      </c>
      <c r="L177" s="981">
        <v>4</v>
      </c>
    </row>
    <row r="178" spans="1:12" x14ac:dyDescent="0.25">
      <c r="A178" s="981" t="s">
        <v>278</v>
      </c>
      <c r="B178" s="981" t="s">
        <v>251</v>
      </c>
      <c r="C178" s="981"/>
      <c r="D178" s="981" t="s">
        <v>36</v>
      </c>
      <c r="E178" s="981">
        <v>63</v>
      </c>
      <c r="F178" s="981">
        <v>0</v>
      </c>
      <c r="G178" s="981">
        <v>0</v>
      </c>
      <c r="H178" s="981">
        <v>11</v>
      </c>
      <c r="I178" s="981">
        <v>48</v>
      </c>
      <c r="J178" s="981">
        <v>0</v>
      </c>
      <c r="K178" s="981">
        <v>0</v>
      </c>
      <c r="L178" s="981">
        <v>4</v>
      </c>
    </row>
    <row r="179" spans="1:12" x14ac:dyDescent="0.25">
      <c r="A179" s="981" t="s">
        <v>278</v>
      </c>
      <c r="B179" s="981" t="s">
        <v>251</v>
      </c>
      <c r="C179" s="981"/>
      <c r="D179" s="981" t="s">
        <v>38</v>
      </c>
      <c r="E179" s="981">
        <v>46</v>
      </c>
      <c r="F179" s="981">
        <v>0</v>
      </c>
      <c r="G179" s="981">
        <v>0</v>
      </c>
      <c r="H179" s="981">
        <v>9</v>
      </c>
      <c r="I179" s="981">
        <v>32</v>
      </c>
      <c r="J179" s="981">
        <v>0</v>
      </c>
      <c r="K179" s="981">
        <v>0</v>
      </c>
      <c r="L179" s="981">
        <v>5</v>
      </c>
    </row>
    <row r="180" spans="1:12" x14ac:dyDescent="0.25">
      <c r="A180" s="981" t="s">
        <v>278</v>
      </c>
      <c r="B180" s="981" t="s">
        <v>251</v>
      </c>
      <c r="C180" s="981"/>
      <c r="D180" s="981" t="s">
        <v>40</v>
      </c>
      <c r="E180" s="981">
        <v>27</v>
      </c>
      <c r="F180" s="981">
        <v>0</v>
      </c>
      <c r="G180" s="981">
        <v>0</v>
      </c>
      <c r="H180" s="981">
        <v>4</v>
      </c>
      <c r="I180" s="981">
        <v>19</v>
      </c>
      <c r="J180" s="981">
        <v>0</v>
      </c>
      <c r="K180" s="981">
        <v>0</v>
      </c>
      <c r="L180" s="981">
        <v>4</v>
      </c>
    </row>
    <row r="181" spans="1:12" x14ac:dyDescent="0.25">
      <c r="A181" s="981" t="s">
        <v>278</v>
      </c>
      <c r="B181" s="981" t="s">
        <v>251</v>
      </c>
      <c r="C181" s="981"/>
      <c r="D181" s="981" t="s">
        <v>41</v>
      </c>
      <c r="E181" s="981">
        <v>50</v>
      </c>
      <c r="F181" s="981">
        <v>0</v>
      </c>
      <c r="G181" s="981">
        <v>0</v>
      </c>
      <c r="H181" s="981">
        <v>10</v>
      </c>
      <c r="I181" s="981">
        <v>30</v>
      </c>
      <c r="J181" s="981">
        <v>0</v>
      </c>
      <c r="K181" s="981">
        <v>0</v>
      </c>
      <c r="L181" s="981">
        <v>10</v>
      </c>
    </row>
    <row r="182" spans="1:12" x14ac:dyDescent="0.25">
      <c r="A182" s="981" t="s">
        <v>278</v>
      </c>
      <c r="B182" s="981" t="s">
        <v>251</v>
      </c>
      <c r="C182" s="981"/>
      <c r="D182" s="981" t="s">
        <v>48</v>
      </c>
      <c r="E182" s="981">
        <v>0</v>
      </c>
      <c r="F182" s="981">
        <v>0</v>
      </c>
      <c r="G182" s="981">
        <v>0</v>
      </c>
      <c r="H182" s="981">
        <v>0</v>
      </c>
      <c r="I182" s="981">
        <v>0</v>
      </c>
      <c r="J182" s="981">
        <v>0</v>
      </c>
      <c r="K182" s="981">
        <v>0</v>
      </c>
      <c r="L182" s="981">
        <v>0</v>
      </c>
    </row>
    <row r="183" spans="1:12" x14ac:dyDescent="0.25">
      <c r="A183" s="981" t="s">
        <v>278</v>
      </c>
      <c r="B183" s="981" t="s">
        <v>251</v>
      </c>
      <c r="C183" s="981"/>
      <c r="D183" s="981" t="s">
        <v>42</v>
      </c>
      <c r="E183" s="981">
        <v>86</v>
      </c>
      <c r="F183" s="981">
        <v>0</v>
      </c>
      <c r="G183" s="981">
        <v>0</v>
      </c>
      <c r="H183" s="981">
        <v>16</v>
      </c>
      <c r="I183" s="981">
        <v>57</v>
      </c>
      <c r="J183" s="981">
        <v>0</v>
      </c>
      <c r="K183" s="981">
        <v>0</v>
      </c>
      <c r="L183" s="981">
        <v>13</v>
      </c>
    </row>
    <row r="184" spans="1:12" x14ac:dyDescent="0.25">
      <c r="A184" s="981" t="s">
        <v>278</v>
      </c>
      <c r="B184" s="981" t="s">
        <v>251</v>
      </c>
      <c r="C184" s="981"/>
      <c r="D184" s="981" t="s">
        <v>44</v>
      </c>
      <c r="E184" s="981">
        <v>67</v>
      </c>
      <c r="F184" s="981">
        <v>0</v>
      </c>
      <c r="G184" s="981">
        <v>0</v>
      </c>
      <c r="H184" s="981">
        <v>11</v>
      </c>
      <c r="I184" s="981">
        <v>52</v>
      </c>
      <c r="J184" s="981">
        <v>0</v>
      </c>
      <c r="K184" s="981">
        <v>0</v>
      </c>
      <c r="L184" s="981">
        <v>4</v>
      </c>
    </row>
    <row r="185" spans="1:12" x14ac:dyDescent="0.25">
      <c r="A185" s="981" t="s">
        <v>278</v>
      </c>
      <c r="B185" s="981" t="s">
        <v>251</v>
      </c>
      <c r="C185" s="981"/>
      <c r="D185" s="981" t="s">
        <v>45</v>
      </c>
      <c r="E185" s="981">
        <v>68</v>
      </c>
      <c r="F185" s="981">
        <v>0</v>
      </c>
      <c r="G185" s="981">
        <v>0</v>
      </c>
      <c r="H185" s="981">
        <v>13</v>
      </c>
      <c r="I185" s="981">
        <v>43</v>
      </c>
      <c r="J185" s="981">
        <v>0</v>
      </c>
      <c r="K185" s="981">
        <v>1</v>
      </c>
      <c r="L185" s="981">
        <v>11</v>
      </c>
    </row>
    <row r="186" spans="1:12" x14ac:dyDescent="0.25">
      <c r="A186" s="981" t="s">
        <v>278</v>
      </c>
      <c r="B186" s="981" t="s">
        <v>251</v>
      </c>
      <c r="C186" s="981"/>
      <c r="D186" s="981" t="s">
        <v>46</v>
      </c>
      <c r="E186" s="981">
        <v>22</v>
      </c>
      <c r="F186" s="981">
        <v>0</v>
      </c>
      <c r="G186" s="981">
        <v>0</v>
      </c>
      <c r="H186" s="981">
        <v>4</v>
      </c>
      <c r="I186" s="981">
        <v>14</v>
      </c>
      <c r="J186" s="981">
        <v>0</v>
      </c>
      <c r="K186" s="981">
        <v>0</v>
      </c>
      <c r="L186" s="981">
        <v>4</v>
      </c>
    </row>
    <row r="187" spans="1:12" x14ac:dyDescent="0.25">
      <c r="A187" s="981" t="s">
        <v>278</v>
      </c>
      <c r="B187" s="981" t="s">
        <v>251</v>
      </c>
      <c r="C187" s="981"/>
      <c r="D187" s="981" t="s">
        <v>47</v>
      </c>
      <c r="E187" s="981">
        <v>27</v>
      </c>
      <c r="F187" s="981">
        <v>0</v>
      </c>
      <c r="G187" s="981">
        <v>0</v>
      </c>
      <c r="H187" s="981">
        <v>4</v>
      </c>
      <c r="I187" s="981">
        <v>19</v>
      </c>
      <c r="J187" s="981">
        <v>0</v>
      </c>
      <c r="K187" s="981">
        <v>0</v>
      </c>
      <c r="L187" s="981">
        <v>4</v>
      </c>
    </row>
    <row r="188" spans="1:12" x14ac:dyDescent="0.25">
      <c r="A188" s="981" t="s">
        <v>278</v>
      </c>
      <c r="B188" s="981" t="s">
        <v>251</v>
      </c>
      <c r="C188" s="981"/>
      <c r="D188" s="981" t="s">
        <v>49</v>
      </c>
      <c r="E188" s="981">
        <v>78</v>
      </c>
      <c r="F188" s="981">
        <v>0</v>
      </c>
      <c r="G188" s="981">
        <v>0</v>
      </c>
      <c r="H188" s="981">
        <v>17</v>
      </c>
      <c r="I188" s="981">
        <v>46</v>
      </c>
      <c r="J188" s="981">
        <v>0</v>
      </c>
      <c r="K188" s="981">
        <v>0</v>
      </c>
      <c r="L188" s="981">
        <v>15</v>
      </c>
    </row>
    <row r="189" spans="1:12" x14ac:dyDescent="0.25">
      <c r="A189" s="981" t="s">
        <v>278</v>
      </c>
      <c r="B189" s="981" t="s">
        <v>251</v>
      </c>
      <c r="C189" s="981"/>
      <c r="D189" s="981" t="s">
        <v>51</v>
      </c>
      <c r="E189" s="981">
        <v>0</v>
      </c>
      <c r="F189" s="981">
        <v>0</v>
      </c>
      <c r="G189" s="981">
        <v>0</v>
      </c>
      <c r="H189" s="981">
        <v>0</v>
      </c>
      <c r="I189" s="981">
        <v>0</v>
      </c>
      <c r="J189" s="981">
        <v>0</v>
      </c>
      <c r="K189" s="981">
        <v>0</v>
      </c>
      <c r="L189" s="981">
        <v>0</v>
      </c>
    </row>
    <row r="190" spans="1:12" x14ac:dyDescent="0.25">
      <c r="A190" s="981" t="s">
        <v>278</v>
      </c>
      <c r="B190" s="981" t="s">
        <v>251</v>
      </c>
      <c r="C190" s="981"/>
      <c r="D190" s="981" t="s">
        <v>52</v>
      </c>
      <c r="E190" s="981">
        <v>68</v>
      </c>
      <c r="F190" s="981">
        <v>0</v>
      </c>
      <c r="G190" s="981">
        <v>0</v>
      </c>
      <c r="H190" s="981">
        <v>12</v>
      </c>
      <c r="I190" s="981">
        <v>52</v>
      </c>
      <c r="J190" s="981">
        <v>0</v>
      </c>
      <c r="K190" s="981">
        <v>0</v>
      </c>
      <c r="L190" s="981">
        <v>4</v>
      </c>
    </row>
    <row r="191" spans="1:12" x14ac:dyDescent="0.25">
      <c r="A191" s="981" t="s">
        <v>278</v>
      </c>
      <c r="B191" s="981" t="s">
        <v>251</v>
      </c>
      <c r="C191" s="981"/>
      <c r="D191" s="981" t="s">
        <v>54</v>
      </c>
      <c r="E191" s="981">
        <v>56</v>
      </c>
      <c r="F191" s="981">
        <v>0</v>
      </c>
      <c r="G191" s="981">
        <v>0</v>
      </c>
      <c r="H191" s="981">
        <v>8</v>
      </c>
      <c r="I191" s="981">
        <v>40</v>
      </c>
      <c r="J191" s="981">
        <v>0</v>
      </c>
      <c r="K191" s="981">
        <v>0</v>
      </c>
      <c r="L191" s="981">
        <v>8</v>
      </c>
    </row>
    <row r="192" spans="1:12" x14ac:dyDescent="0.25">
      <c r="A192" s="981" t="s">
        <v>278</v>
      </c>
      <c r="B192" s="981" t="s">
        <v>251</v>
      </c>
      <c r="C192" s="981"/>
      <c r="D192" s="981" t="s">
        <v>55</v>
      </c>
      <c r="E192" s="981">
        <v>0</v>
      </c>
      <c r="F192" s="981">
        <v>0</v>
      </c>
      <c r="G192" s="981">
        <v>0</v>
      </c>
      <c r="H192" s="981">
        <v>0</v>
      </c>
      <c r="I192" s="981">
        <v>0</v>
      </c>
      <c r="J192" s="981">
        <v>0</v>
      </c>
      <c r="K192" s="981">
        <v>0</v>
      </c>
      <c r="L192" s="981">
        <v>0</v>
      </c>
    </row>
    <row r="193" spans="1:12" x14ac:dyDescent="0.25">
      <c r="A193" s="981" t="s">
        <v>278</v>
      </c>
      <c r="B193" s="981" t="s">
        <v>251</v>
      </c>
      <c r="C193" s="981"/>
      <c r="D193" s="981" t="s">
        <v>56</v>
      </c>
      <c r="E193" s="981">
        <v>54</v>
      </c>
      <c r="F193" s="981">
        <v>0</v>
      </c>
      <c r="G193" s="981">
        <v>0</v>
      </c>
      <c r="H193" s="981">
        <v>10</v>
      </c>
      <c r="I193" s="981">
        <v>39</v>
      </c>
      <c r="J193" s="981">
        <v>0</v>
      </c>
      <c r="K193" s="981">
        <v>0</v>
      </c>
      <c r="L193" s="981">
        <v>5</v>
      </c>
    </row>
    <row r="194" spans="1:12" x14ac:dyDescent="0.25">
      <c r="A194" s="981" t="s">
        <v>278</v>
      </c>
      <c r="B194" s="981" t="s">
        <v>251</v>
      </c>
      <c r="C194" s="981"/>
      <c r="D194" s="981" t="s">
        <v>57</v>
      </c>
      <c r="E194" s="981">
        <v>171</v>
      </c>
      <c r="F194" s="981">
        <v>0</v>
      </c>
      <c r="G194" s="981">
        <v>0</v>
      </c>
      <c r="H194" s="981">
        <v>34</v>
      </c>
      <c r="I194" s="981">
        <v>117</v>
      </c>
      <c r="J194" s="981">
        <v>0</v>
      </c>
      <c r="K194" s="981">
        <v>0</v>
      </c>
      <c r="L194" s="981">
        <v>20</v>
      </c>
    </row>
    <row r="195" spans="1:12" x14ac:dyDescent="0.25">
      <c r="A195" s="981" t="s">
        <v>278</v>
      </c>
      <c r="B195" s="981" t="s">
        <v>251</v>
      </c>
      <c r="C195" s="981"/>
      <c r="D195" s="981" t="s">
        <v>58</v>
      </c>
      <c r="E195" s="981">
        <v>53</v>
      </c>
      <c r="F195" s="981">
        <v>0</v>
      </c>
      <c r="G195" s="981">
        <v>0</v>
      </c>
      <c r="H195" s="981">
        <v>9</v>
      </c>
      <c r="I195" s="981">
        <v>40</v>
      </c>
      <c r="J195" s="981">
        <v>0</v>
      </c>
      <c r="K195" s="981">
        <v>0</v>
      </c>
      <c r="L195" s="981">
        <v>4</v>
      </c>
    </row>
    <row r="196" spans="1:12" x14ac:dyDescent="0.25">
      <c r="A196" s="981" t="s">
        <v>278</v>
      </c>
      <c r="B196" s="981" t="s">
        <v>251</v>
      </c>
      <c r="C196" s="981"/>
      <c r="D196" s="981" t="s">
        <v>31</v>
      </c>
      <c r="E196" s="981">
        <v>155</v>
      </c>
      <c r="F196" s="981">
        <v>0</v>
      </c>
      <c r="G196" s="981">
        <v>0</v>
      </c>
      <c r="H196" s="981">
        <v>26</v>
      </c>
      <c r="I196" s="981">
        <v>113</v>
      </c>
      <c r="J196" s="981">
        <v>0</v>
      </c>
      <c r="K196" s="981">
        <v>0</v>
      </c>
      <c r="L196" s="981">
        <v>16</v>
      </c>
    </row>
    <row r="197" spans="1:12" x14ac:dyDescent="0.25">
      <c r="A197" s="981" t="s">
        <v>278</v>
      </c>
      <c r="B197" s="981" t="s">
        <v>251</v>
      </c>
      <c r="C197" s="981"/>
      <c r="D197" s="981" t="s">
        <v>32</v>
      </c>
      <c r="E197" s="981">
        <v>25</v>
      </c>
      <c r="F197" s="981">
        <v>0</v>
      </c>
      <c r="G197" s="981">
        <v>0</v>
      </c>
      <c r="H197" s="981">
        <v>4</v>
      </c>
      <c r="I197" s="981">
        <v>17</v>
      </c>
      <c r="J197" s="981">
        <v>0</v>
      </c>
      <c r="K197" s="981">
        <v>0</v>
      </c>
      <c r="L197" s="981">
        <v>4</v>
      </c>
    </row>
    <row r="198" spans="1:12" x14ac:dyDescent="0.25">
      <c r="A198" s="981" t="s">
        <v>278</v>
      </c>
      <c r="B198" s="981" t="s">
        <v>251</v>
      </c>
      <c r="C198" s="981"/>
      <c r="D198" s="981" t="s">
        <v>34</v>
      </c>
      <c r="E198" s="981">
        <v>43</v>
      </c>
      <c r="F198" s="981">
        <v>0</v>
      </c>
      <c r="G198" s="981">
        <v>0</v>
      </c>
      <c r="H198" s="981">
        <v>9</v>
      </c>
      <c r="I198" s="981">
        <v>24</v>
      </c>
      <c r="J198" s="981">
        <v>0</v>
      </c>
      <c r="K198" s="981">
        <v>0</v>
      </c>
      <c r="L198" s="981">
        <v>10</v>
      </c>
    </row>
    <row r="199" spans="1:12" x14ac:dyDescent="0.25">
      <c r="A199" s="981" t="s">
        <v>278</v>
      </c>
      <c r="B199" s="981" t="s">
        <v>251</v>
      </c>
      <c r="C199" s="981"/>
      <c r="D199" s="981" t="s">
        <v>262</v>
      </c>
      <c r="E199" s="981">
        <v>313</v>
      </c>
      <c r="F199" s="981">
        <v>0</v>
      </c>
      <c r="G199" s="981">
        <v>0</v>
      </c>
      <c r="H199" s="981">
        <v>60</v>
      </c>
      <c r="I199" s="981">
        <v>227</v>
      </c>
      <c r="J199" s="981">
        <v>0</v>
      </c>
      <c r="K199" s="981">
        <v>0</v>
      </c>
      <c r="L199" s="981">
        <v>26</v>
      </c>
    </row>
    <row r="200" spans="1:12" x14ac:dyDescent="0.25">
      <c r="A200" s="981" t="s">
        <v>278</v>
      </c>
      <c r="B200" s="981" t="s">
        <v>251</v>
      </c>
      <c r="C200" s="981"/>
      <c r="D200" s="981" t="s">
        <v>53</v>
      </c>
      <c r="E200" s="981">
        <v>97</v>
      </c>
      <c r="F200" s="981">
        <v>0</v>
      </c>
      <c r="G200" s="981">
        <v>0</v>
      </c>
      <c r="H200" s="981">
        <v>21</v>
      </c>
      <c r="I200" s="981">
        <v>60</v>
      </c>
      <c r="J200" s="981">
        <v>0</v>
      </c>
      <c r="K200" s="981">
        <v>0</v>
      </c>
      <c r="L200" s="981">
        <v>16</v>
      </c>
    </row>
    <row r="201" spans="1:12" x14ac:dyDescent="0.25">
      <c r="A201" s="981" t="s">
        <v>278</v>
      </c>
      <c r="B201" s="981" t="s">
        <v>251</v>
      </c>
      <c r="C201" s="981"/>
      <c r="D201" s="981" t="s">
        <v>59</v>
      </c>
      <c r="E201" s="981">
        <v>69</v>
      </c>
      <c r="F201" s="981">
        <v>0</v>
      </c>
      <c r="G201" s="981">
        <v>0</v>
      </c>
      <c r="H201" s="981">
        <v>15</v>
      </c>
      <c r="I201" s="981">
        <v>44</v>
      </c>
      <c r="J201" s="981">
        <v>0</v>
      </c>
      <c r="K201" s="981">
        <v>0</v>
      </c>
      <c r="L201" s="981">
        <v>10</v>
      </c>
    </row>
    <row r="202" spans="1:12" x14ac:dyDescent="0.25">
      <c r="A202" s="981" t="s">
        <v>278</v>
      </c>
      <c r="B202" s="981" t="s">
        <v>251</v>
      </c>
      <c r="C202" s="981"/>
      <c r="D202" s="981" t="s">
        <v>60</v>
      </c>
      <c r="E202" s="981">
        <v>60</v>
      </c>
      <c r="F202" s="981">
        <v>0</v>
      </c>
      <c r="G202" s="981">
        <v>0</v>
      </c>
      <c r="H202" s="981">
        <v>10</v>
      </c>
      <c r="I202" s="981">
        <v>42</v>
      </c>
      <c r="J202" s="981">
        <v>0</v>
      </c>
      <c r="K202" s="981">
        <v>0</v>
      </c>
      <c r="L202" s="981">
        <v>8</v>
      </c>
    </row>
    <row r="203" spans="1:12" x14ac:dyDescent="0.25">
      <c r="A203" s="981" t="s">
        <v>278</v>
      </c>
      <c r="B203" s="981" t="s">
        <v>251</v>
      </c>
      <c r="C203" s="981"/>
      <c r="D203" s="981" t="s">
        <v>33</v>
      </c>
      <c r="E203" s="981">
        <v>25</v>
      </c>
      <c r="F203" s="981">
        <v>0</v>
      </c>
      <c r="G203" s="981">
        <v>0</v>
      </c>
      <c r="H203" s="981">
        <v>4</v>
      </c>
      <c r="I203" s="981">
        <v>18</v>
      </c>
      <c r="J203" s="981">
        <v>0</v>
      </c>
      <c r="K203" s="981">
        <v>0</v>
      </c>
      <c r="L203" s="981">
        <v>3</v>
      </c>
    </row>
    <row r="204" spans="1:12" x14ac:dyDescent="0.25">
      <c r="A204" s="981" t="s">
        <v>278</v>
      </c>
      <c r="B204" s="981" t="s">
        <v>251</v>
      </c>
      <c r="C204" s="981"/>
      <c r="D204" s="981" t="s">
        <v>37</v>
      </c>
      <c r="E204" s="981">
        <v>192</v>
      </c>
      <c r="F204" s="981">
        <v>0</v>
      </c>
      <c r="G204" s="981">
        <v>0</v>
      </c>
      <c r="H204" s="981">
        <v>30</v>
      </c>
      <c r="I204" s="981">
        <v>144</v>
      </c>
      <c r="J204" s="981">
        <v>0</v>
      </c>
      <c r="K204" s="981">
        <v>0</v>
      </c>
      <c r="L204" s="981">
        <v>18</v>
      </c>
    </row>
    <row r="205" spans="1:12" x14ac:dyDescent="0.25">
      <c r="A205" s="981" t="s">
        <v>278</v>
      </c>
      <c r="B205" s="981" t="s">
        <v>251</v>
      </c>
      <c r="C205" s="981"/>
      <c r="D205" s="981" t="s">
        <v>50</v>
      </c>
      <c r="E205" s="981">
        <v>173</v>
      </c>
      <c r="F205" s="981">
        <v>0</v>
      </c>
      <c r="G205" s="981">
        <v>0</v>
      </c>
      <c r="H205" s="981">
        <v>30</v>
      </c>
      <c r="I205" s="981">
        <v>123</v>
      </c>
      <c r="J205" s="981">
        <v>0</v>
      </c>
      <c r="K205" s="981">
        <v>0</v>
      </c>
      <c r="L205" s="981">
        <v>20</v>
      </c>
    </row>
    <row r="206" spans="1:12" x14ac:dyDescent="0.25">
      <c r="A206" s="981" t="s">
        <v>278</v>
      </c>
      <c r="B206" s="981" t="s">
        <v>251</v>
      </c>
      <c r="C206" s="981"/>
      <c r="D206" s="981" t="s">
        <v>39</v>
      </c>
      <c r="E206" s="981">
        <v>68</v>
      </c>
      <c r="F206" s="981">
        <v>0</v>
      </c>
      <c r="G206" s="981">
        <v>0</v>
      </c>
      <c r="H206" s="981">
        <v>14</v>
      </c>
      <c r="I206" s="981">
        <v>39</v>
      </c>
      <c r="J206" s="981">
        <v>0</v>
      </c>
      <c r="K206" s="981">
        <v>0</v>
      </c>
      <c r="L206" s="981">
        <v>15</v>
      </c>
    </row>
    <row r="207" spans="1:12" x14ac:dyDescent="0.25">
      <c r="A207" s="981" t="s">
        <v>278</v>
      </c>
      <c r="B207" s="981" t="s">
        <v>251</v>
      </c>
      <c r="C207" s="981"/>
      <c r="D207" s="981" t="s">
        <v>124</v>
      </c>
      <c r="E207" s="981">
        <v>475</v>
      </c>
      <c r="F207" s="981">
        <v>0</v>
      </c>
      <c r="G207" s="981">
        <v>0</v>
      </c>
      <c r="H207" s="981">
        <v>105</v>
      </c>
      <c r="I207" s="981">
        <v>313</v>
      </c>
      <c r="J207" s="981">
        <v>0</v>
      </c>
      <c r="K207" s="981">
        <v>0</v>
      </c>
      <c r="L207" s="981">
        <v>57</v>
      </c>
    </row>
    <row r="208" spans="1:12" x14ac:dyDescent="0.25">
      <c r="A208" s="981" t="s">
        <v>278</v>
      </c>
      <c r="B208" s="981" t="s">
        <v>251</v>
      </c>
      <c r="C208" s="981"/>
      <c r="D208" s="981" t="s">
        <v>43</v>
      </c>
      <c r="E208" s="981">
        <v>270</v>
      </c>
      <c r="F208" s="981">
        <v>0</v>
      </c>
      <c r="G208" s="981">
        <v>0</v>
      </c>
      <c r="H208" s="981">
        <v>48</v>
      </c>
      <c r="I208" s="981">
        <v>201</v>
      </c>
      <c r="J208" s="981">
        <v>0</v>
      </c>
      <c r="K208" s="981">
        <v>0</v>
      </c>
      <c r="L208" s="981">
        <v>21</v>
      </c>
    </row>
    <row r="209" spans="1:12" x14ac:dyDescent="0.25">
      <c r="A209" s="981" t="s">
        <v>278</v>
      </c>
      <c r="B209" s="981" t="s">
        <v>252</v>
      </c>
      <c r="C209" s="981"/>
      <c r="D209" s="981" t="s">
        <v>286</v>
      </c>
      <c r="E209" s="981">
        <v>386</v>
      </c>
      <c r="F209" s="981">
        <v>16</v>
      </c>
      <c r="G209" s="981">
        <v>0</v>
      </c>
      <c r="H209" s="981">
        <v>61</v>
      </c>
      <c r="I209" s="981">
        <v>27</v>
      </c>
      <c r="J209" s="981">
        <v>47</v>
      </c>
      <c r="K209" s="981">
        <v>116</v>
      </c>
      <c r="L209" s="981">
        <v>119</v>
      </c>
    </row>
    <row r="210" spans="1:12" x14ac:dyDescent="0.25">
      <c r="A210" s="981" t="s">
        <v>278</v>
      </c>
      <c r="B210" s="981" t="s">
        <v>252</v>
      </c>
      <c r="C210" s="981"/>
      <c r="D210" s="981" t="s">
        <v>31</v>
      </c>
      <c r="E210" s="981">
        <v>14</v>
      </c>
      <c r="F210" s="981">
        <v>1</v>
      </c>
      <c r="G210" s="981">
        <v>0</v>
      </c>
      <c r="H210" s="981">
        <v>2</v>
      </c>
      <c r="I210" s="981">
        <v>2</v>
      </c>
      <c r="J210" s="981">
        <v>1</v>
      </c>
      <c r="K210" s="981">
        <v>3</v>
      </c>
      <c r="L210" s="981">
        <v>5</v>
      </c>
    </row>
    <row r="211" spans="1:12" x14ac:dyDescent="0.25">
      <c r="A211" s="981" t="s">
        <v>278</v>
      </c>
      <c r="B211" s="981" t="s">
        <v>252</v>
      </c>
      <c r="C211" s="981"/>
      <c r="D211" s="981" t="s">
        <v>64</v>
      </c>
      <c r="E211" s="981">
        <v>25</v>
      </c>
      <c r="F211" s="981">
        <v>1</v>
      </c>
      <c r="G211" s="981">
        <v>0</v>
      </c>
      <c r="H211" s="981">
        <v>5</v>
      </c>
      <c r="I211" s="981">
        <v>0</v>
      </c>
      <c r="J211" s="981">
        <v>2</v>
      </c>
      <c r="K211" s="981">
        <v>8</v>
      </c>
      <c r="L211" s="981">
        <v>9</v>
      </c>
    </row>
    <row r="212" spans="1:12" x14ac:dyDescent="0.25">
      <c r="A212" s="981" t="s">
        <v>278</v>
      </c>
      <c r="B212" s="981" t="s">
        <v>252</v>
      </c>
      <c r="C212" s="981"/>
      <c r="D212" s="981" t="s">
        <v>65</v>
      </c>
      <c r="E212" s="981">
        <v>26</v>
      </c>
      <c r="F212" s="981">
        <v>1</v>
      </c>
      <c r="G212" s="981">
        <v>0</v>
      </c>
      <c r="H212" s="981">
        <v>4</v>
      </c>
      <c r="I212" s="981">
        <v>2</v>
      </c>
      <c r="J212" s="981">
        <v>3</v>
      </c>
      <c r="K212" s="981">
        <v>9</v>
      </c>
      <c r="L212" s="981">
        <v>7</v>
      </c>
    </row>
    <row r="213" spans="1:12" x14ac:dyDescent="0.25">
      <c r="A213" s="981" t="s">
        <v>278</v>
      </c>
      <c r="B213" s="981" t="s">
        <v>252</v>
      </c>
      <c r="C213" s="981"/>
      <c r="D213" s="981" t="s">
        <v>36</v>
      </c>
      <c r="E213" s="981">
        <v>21</v>
      </c>
      <c r="F213" s="981">
        <v>1</v>
      </c>
      <c r="G213" s="981">
        <v>0</v>
      </c>
      <c r="H213" s="981">
        <v>3</v>
      </c>
      <c r="I213" s="981">
        <v>0</v>
      </c>
      <c r="J213" s="981">
        <v>2</v>
      </c>
      <c r="K213" s="981">
        <v>6</v>
      </c>
      <c r="L213" s="981">
        <v>9</v>
      </c>
    </row>
    <row r="214" spans="1:12" x14ac:dyDescent="0.25">
      <c r="A214" s="981" t="s">
        <v>278</v>
      </c>
      <c r="B214" s="981" t="s">
        <v>252</v>
      </c>
      <c r="C214" s="981"/>
      <c r="D214" s="981" t="s">
        <v>68</v>
      </c>
      <c r="E214" s="981">
        <v>29</v>
      </c>
      <c r="F214" s="981">
        <v>1</v>
      </c>
      <c r="G214" s="981">
        <v>0</v>
      </c>
      <c r="H214" s="981">
        <v>5</v>
      </c>
      <c r="I214" s="981">
        <v>1</v>
      </c>
      <c r="J214" s="981">
        <v>4</v>
      </c>
      <c r="K214" s="981">
        <v>9</v>
      </c>
      <c r="L214" s="981">
        <v>9</v>
      </c>
    </row>
    <row r="215" spans="1:12" x14ac:dyDescent="0.25">
      <c r="A215" s="981" t="s">
        <v>278</v>
      </c>
      <c r="B215" s="981" t="s">
        <v>252</v>
      </c>
      <c r="C215" s="981"/>
      <c r="D215" s="981" t="s">
        <v>69</v>
      </c>
      <c r="E215" s="981">
        <v>31</v>
      </c>
      <c r="F215" s="981">
        <v>1</v>
      </c>
      <c r="G215" s="981">
        <v>0</v>
      </c>
      <c r="H215" s="981">
        <v>5</v>
      </c>
      <c r="I215" s="981">
        <v>5</v>
      </c>
      <c r="J215" s="981">
        <v>4</v>
      </c>
      <c r="K215" s="981">
        <v>8</v>
      </c>
      <c r="L215" s="981">
        <v>8</v>
      </c>
    </row>
    <row r="216" spans="1:12" x14ac:dyDescent="0.25">
      <c r="A216" s="981" t="s">
        <v>278</v>
      </c>
      <c r="B216" s="981" t="s">
        <v>252</v>
      </c>
      <c r="C216" s="981"/>
      <c r="D216" s="981" t="s">
        <v>70</v>
      </c>
      <c r="E216" s="981">
        <v>18</v>
      </c>
      <c r="F216" s="981">
        <v>1</v>
      </c>
      <c r="G216" s="981">
        <v>0</v>
      </c>
      <c r="H216" s="981">
        <v>2</v>
      </c>
      <c r="I216" s="981">
        <v>1</v>
      </c>
      <c r="J216" s="981">
        <v>3</v>
      </c>
      <c r="K216" s="981">
        <v>4</v>
      </c>
      <c r="L216" s="981">
        <v>7</v>
      </c>
    </row>
    <row r="217" spans="1:12" x14ac:dyDescent="0.25">
      <c r="A217" s="981" t="s">
        <v>278</v>
      </c>
      <c r="B217" s="981" t="s">
        <v>252</v>
      </c>
      <c r="C217" s="981"/>
      <c r="D217" s="981" t="s">
        <v>178</v>
      </c>
      <c r="E217" s="981">
        <v>27</v>
      </c>
      <c r="F217" s="981">
        <v>1</v>
      </c>
      <c r="G217" s="981">
        <v>0</v>
      </c>
      <c r="H217" s="981">
        <v>2</v>
      </c>
      <c r="I217" s="981">
        <v>4</v>
      </c>
      <c r="J217" s="981">
        <v>3</v>
      </c>
      <c r="K217" s="981">
        <v>6</v>
      </c>
      <c r="L217" s="981">
        <v>11</v>
      </c>
    </row>
    <row r="218" spans="1:12" x14ac:dyDescent="0.25">
      <c r="A218" s="981" t="s">
        <v>278</v>
      </c>
      <c r="B218" s="981" t="s">
        <v>252</v>
      </c>
      <c r="C218" s="981"/>
      <c r="D218" s="981" t="s">
        <v>71</v>
      </c>
      <c r="E218" s="981">
        <v>21</v>
      </c>
      <c r="F218" s="981">
        <v>1</v>
      </c>
      <c r="G218" s="981">
        <v>0</v>
      </c>
      <c r="H218" s="981">
        <v>3</v>
      </c>
      <c r="I218" s="981">
        <v>2</v>
      </c>
      <c r="J218" s="981">
        <v>2</v>
      </c>
      <c r="K218" s="981">
        <v>6</v>
      </c>
      <c r="L218" s="981">
        <v>7</v>
      </c>
    </row>
    <row r="219" spans="1:12" x14ac:dyDescent="0.25">
      <c r="A219" s="981" t="s">
        <v>278</v>
      </c>
      <c r="B219" s="981" t="s">
        <v>252</v>
      </c>
      <c r="C219" s="981"/>
      <c r="D219" s="981" t="s">
        <v>124</v>
      </c>
      <c r="E219" s="981">
        <v>25</v>
      </c>
      <c r="F219" s="981">
        <v>1</v>
      </c>
      <c r="G219" s="981">
        <v>0</v>
      </c>
      <c r="H219" s="981">
        <v>3</v>
      </c>
      <c r="I219" s="981">
        <v>2</v>
      </c>
      <c r="J219" s="981">
        <v>4</v>
      </c>
      <c r="K219" s="981">
        <v>9</v>
      </c>
      <c r="L219" s="981">
        <v>6</v>
      </c>
    </row>
    <row r="220" spans="1:12" x14ac:dyDescent="0.25">
      <c r="A220" s="981" t="s">
        <v>278</v>
      </c>
      <c r="B220" s="981" t="s">
        <v>252</v>
      </c>
      <c r="C220" s="981"/>
      <c r="D220" s="981" t="s">
        <v>72</v>
      </c>
      <c r="E220" s="981">
        <v>36</v>
      </c>
      <c r="F220" s="981">
        <v>1</v>
      </c>
      <c r="G220" s="981">
        <v>0</v>
      </c>
      <c r="H220" s="981">
        <v>10</v>
      </c>
      <c r="I220" s="981">
        <v>0</v>
      </c>
      <c r="J220" s="981">
        <v>4</v>
      </c>
      <c r="K220" s="981">
        <v>13</v>
      </c>
      <c r="L220" s="981">
        <v>8</v>
      </c>
    </row>
    <row r="221" spans="1:12" x14ac:dyDescent="0.25">
      <c r="A221" s="981" t="s">
        <v>278</v>
      </c>
      <c r="B221" s="981" t="s">
        <v>252</v>
      </c>
      <c r="C221" s="981"/>
      <c r="D221" s="981" t="s">
        <v>50</v>
      </c>
      <c r="E221" s="981">
        <v>15</v>
      </c>
      <c r="F221" s="981">
        <v>1</v>
      </c>
      <c r="G221" s="981">
        <v>0</v>
      </c>
      <c r="H221" s="981">
        <v>1</v>
      </c>
      <c r="I221" s="981">
        <v>1</v>
      </c>
      <c r="J221" s="981">
        <v>2</v>
      </c>
      <c r="K221" s="981">
        <v>5</v>
      </c>
      <c r="L221" s="981">
        <v>5</v>
      </c>
    </row>
    <row r="222" spans="1:12" x14ac:dyDescent="0.25">
      <c r="A222" s="981" t="s">
        <v>278</v>
      </c>
      <c r="B222" s="981" t="s">
        <v>252</v>
      </c>
      <c r="C222" s="981"/>
      <c r="D222" s="981" t="s">
        <v>57</v>
      </c>
      <c r="E222" s="981">
        <v>15</v>
      </c>
      <c r="F222" s="981">
        <v>1</v>
      </c>
      <c r="G222" s="981">
        <v>0</v>
      </c>
      <c r="H222" s="981">
        <v>2</v>
      </c>
      <c r="I222" s="981">
        <v>1</v>
      </c>
      <c r="J222" s="981">
        <v>2</v>
      </c>
      <c r="K222" s="981">
        <v>5</v>
      </c>
      <c r="L222" s="981">
        <v>4</v>
      </c>
    </row>
    <row r="223" spans="1:12" x14ac:dyDescent="0.25">
      <c r="A223" s="981" t="s">
        <v>278</v>
      </c>
      <c r="B223" s="981" t="s">
        <v>252</v>
      </c>
      <c r="C223" s="981"/>
      <c r="D223" s="981" t="s">
        <v>73</v>
      </c>
      <c r="E223" s="981">
        <v>15</v>
      </c>
      <c r="F223" s="981">
        <v>0</v>
      </c>
      <c r="G223" s="981">
        <v>0</v>
      </c>
      <c r="H223" s="981">
        <v>3</v>
      </c>
      <c r="I223" s="981">
        <v>1</v>
      </c>
      <c r="J223" s="981">
        <v>2</v>
      </c>
      <c r="K223" s="981">
        <v>4</v>
      </c>
      <c r="L223" s="981">
        <v>5</v>
      </c>
    </row>
    <row r="224" spans="1:12" x14ac:dyDescent="0.25">
      <c r="A224" s="981" t="s">
        <v>278</v>
      </c>
      <c r="B224" s="981" t="s">
        <v>252</v>
      </c>
      <c r="C224" s="981"/>
      <c r="D224" s="981" t="s">
        <v>74</v>
      </c>
      <c r="E224" s="981">
        <v>16</v>
      </c>
      <c r="F224" s="981">
        <v>1</v>
      </c>
      <c r="G224" s="981">
        <v>0</v>
      </c>
      <c r="H224" s="981">
        <v>6</v>
      </c>
      <c r="I224" s="981">
        <v>0</v>
      </c>
      <c r="J224" s="981">
        <v>3</v>
      </c>
      <c r="K224" s="981">
        <v>5</v>
      </c>
      <c r="L224" s="981">
        <v>1</v>
      </c>
    </row>
    <row r="225" spans="1:12" x14ac:dyDescent="0.25">
      <c r="A225" s="981" t="s">
        <v>278</v>
      </c>
      <c r="B225" s="981" t="s">
        <v>252</v>
      </c>
      <c r="C225" s="981"/>
      <c r="D225" s="981" t="s">
        <v>67</v>
      </c>
      <c r="E225" s="981">
        <v>28</v>
      </c>
      <c r="F225" s="981">
        <v>1</v>
      </c>
      <c r="G225" s="981">
        <v>0</v>
      </c>
      <c r="H225" s="981">
        <v>2</v>
      </c>
      <c r="I225" s="981">
        <v>2</v>
      </c>
      <c r="J225" s="981">
        <v>4</v>
      </c>
      <c r="K225" s="981">
        <v>9</v>
      </c>
      <c r="L225" s="981">
        <v>10</v>
      </c>
    </row>
    <row r="226" spans="1:12" x14ac:dyDescent="0.25">
      <c r="A226" s="981" t="s">
        <v>278</v>
      </c>
      <c r="B226" s="981" t="s">
        <v>252</v>
      </c>
      <c r="C226" s="981"/>
      <c r="D226" s="981" t="s">
        <v>43</v>
      </c>
      <c r="E226" s="981">
        <v>24</v>
      </c>
      <c r="F226" s="981">
        <v>1</v>
      </c>
      <c r="G226" s="981">
        <v>0</v>
      </c>
      <c r="H226" s="981">
        <v>3</v>
      </c>
      <c r="I226" s="981">
        <v>3</v>
      </c>
      <c r="J226" s="981">
        <v>2</v>
      </c>
      <c r="K226" s="981">
        <v>7</v>
      </c>
      <c r="L226" s="981">
        <v>8</v>
      </c>
    </row>
    <row r="227" spans="1:12" x14ac:dyDescent="0.25">
      <c r="A227" s="981" t="s">
        <v>278</v>
      </c>
      <c r="B227" s="981" t="s">
        <v>253</v>
      </c>
      <c r="C227" s="981"/>
      <c r="D227" s="981" t="s">
        <v>286</v>
      </c>
      <c r="E227" s="981"/>
      <c r="F227" s="981"/>
      <c r="G227" s="981"/>
      <c r="H227" s="981"/>
      <c r="I227" s="981"/>
      <c r="J227" s="981"/>
      <c r="K227" s="981"/>
      <c r="L227" s="981"/>
    </row>
    <row r="228" spans="1:12" x14ac:dyDescent="0.25">
      <c r="A228" s="981" t="s">
        <v>278</v>
      </c>
      <c r="B228" s="981" t="s">
        <v>253</v>
      </c>
      <c r="C228" s="981"/>
      <c r="D228" s="981" t="s">
        <v>176</v>
      </c>
      <c r="E228" s="981">
        <v>68</v>
      </c>
      <c r="F228" s="981">
        <v>1</v>
      </c>
      <c r="G228" s="981">
        <v>0</v>
      </c>
      <c r="H228" s="981">
        <v>10</v>
      </c>
      <c r="I228" s="981">
        <v>1</v>
      </c>
      <c r="J228" s="981">
        <v>3</v>
      </c>
      <c r="K228" s="981">
        <v>11</v>
      </c>
      <c r="L228" s="981">
        <v>42</v>
      </c>
    </row>
    <row r="229" spans="1:12" x14ac:dyDescent="0.25">
      <c r="A229" s="981" t="s">
        <v>278</v>
      </c>
      <c r="B229" s="981" t="s">
        <v>253</v>
      </c>
      <c r="C229" s="981"/>
      <c r="D229" s="981" t="s">
        <v>177</v>
      </c>
      <c r="E229" s="981">
        <v>38</v>
      </c>
      <c r="F229" s="981">
        <v>1</v>
      </c>
      <c r="G229" s="981">
        <v>0</v>
      </c>
      <c r="H229" s="981">
        <v>6</v>
      </c>
      <c r="I229" s="981">
        <v>1</v>
      </c>
      <c r="J229" s="981">
        <v>5</v>
      </c>
      <c r="K229" s="981">
        <v>5</v>
      </c>
      <c r="L229" s="981">
        <v>20</v>
      </c>
    </row>
    <row r="230" spans="1:12" x14ac:dyDescent="0.25">
      <c r="A230" s="981" t="s">
        <v>278</v>
      </c>
      <c r="B230" s="981" t="s">
        <v>253</v>
      </c>
      <c r="C230" s="981"/>
      <c r="D230" s="981" t="s">
        <v>175</v>
      </c>
      <c r="E230" s="981">
        <v>45</v>
      </c>
      <c r="F230" s="981">
        <v>1</v>
      </c>
      <c r="G230" s="981">
        <v>0</v>
      </c>
      <c r="H230" s="981">
        <v>6</v>
      </c>
      <c r="I230" s="981">
        <v>1</v>
      </c>
      <c r="J230" s="981">
        <v>4</v>
      </c>
      <c r="K230" s="981">
        <v>9</v>
      </c>
      <c r="L230" s="981">
        <v>24</v>
      </c>
    </row>
    <row r="231" spans="1:12" x14ac:dyDescent="0.25">
      <c r="A231" s="981" t="s">
        <v>278</v>
      </c>
      <c r="B231" s="981" t="s">
        <v>254</v>
      </c>
      <c r="C231" s="981"/>
      <c r="D231" s="981" t="s">
        <v>263</v>
      </c>
      <c r="E231" s="981">
        <v>182</v>
      </c>
      <c r="F231" s="981">
        <v>15</v>
      </c>
      <c r="G231" s="981">
        <v>4</v>
      </c>
      <c r="H231" s="981">
        <v>0</v>
      </c>
      <c r="I231" s="981">
        <v>101</v>
      </c>
      <c r="J231" s="981">
        <v>11</v>
      </c>
      <c r="K231" s="981">
        <v>9</v>
      </c>
      <c r="L231" s="981">
        <v>42</v>
      </c>
    </row>
    <row r="232" spans="1:12" x14ac:dyDescent="0.25">
      <c r="A232" s="981" t="s">
        <v>278</v>
      </c>
      <c r="B232" s="981" t="s">
        <v>26</v>
      </c>
      <c r="C232" s="981"/>
      <c r="D232" s="981" t="s">
        <v>263</v>
      </c>
      <c r="E232" s="981">
        <v>3644</v>
      </c>
      <c r="F232" s="981">
        <v>34</v>
      </c>
      <c r="G232" s="981">
        <v>4</v>
      </c>
      <c r="H232" s="981">
        <v>635</v>
      </c>
      <c r="I232" s="981">
        <v>2158</v>
      </c>
      <c r="J232" s="981">
        <v>70</v>
      </c>
      <c r="K232" s="981">
        <v>151</v>
      </c>
      <c r="L232" s="981">
        <v>590</v>
      </c>
    </row>
    <row r="233" spans="1:12" x14ac:dyDescent="0.25">
      <c r="A233" s="981" t="s">
        <v>259</v>
      </c>
      <c r="B233" s="981" t="s">
        <v>251</v>
      </c>
      <c r="C233" s="981"/>
      <c r="D233" s="981" t="s">
        <v>286</v>
      </c>
      <c r="E233" s="981">
        <v>2868</v>
      </c>
      <c r="F233" s="981"/>
      <c r="G233" s="981"/>
      <c r="H233" s="981">
        <v>588</v>
      </c>
      <c r="I233" s="981">
        <v>1905</v>
      </c>
      <c r="J233" s="981"/>
      <c r="K233" s="981"/>
      <c r="L233" s="981">
        <v>375</v>
      </c>
    </row>
    <row r="234" spans="1:12" x14ac:dyDescent="0.25">
      <c r="A234" s="981" t="s">
        <v>259</v>
      </c>
      <c r="B234" s="981" t="s">
        <v>251</v>
      </c>
      <c r="C234" s="981"/>
      <c r="D234" s="981" t="s">
        <v>35</v>
      </c>
      <c r="E234" s="981">
        <v>25</v>
      </c>
      <c r="F234" s="981"/>
      <c r="G234" s="981"/>
      <c r="H234" s="981">
        <v>5</v>
      </c>
      <c r="I234" s="981">
        <v>15</v>
      </c>
      <c r="J234" s="981"/>
      <c r="K234" s="981"/>
      <c r="L234" s="981">
        <v>5</v>
      </c>
    </row>
    <row r="235" spans="1:12" x14ac:dyDescent="0.25">
      <c r="A235" s="981" t="s">
        <v>259</v>
      </c>
      <c r="B235" s="981" t="s">
        <v>251</v>
      </c>
      <c r="C235" s="981"/>
      <c r="D235" s="981" t="s">
        <v>36</v>
      </c>
      <c r="E235" s="981">
        <v>54</v>
      </c>
      <c r="F235" s="981"/>
      <c r="G235" s="981"/>
      <c r="H235" s="981">
        <v>11</v>
      </c>
      <c r="I235" s="981">
        <v>38</v>
      </c>
      <c r="J235" s="981"/>
      <c r="K235" s="981"/>
      <c r="L235" s="981">
        <v>5</v>
      </c>
    </row>
    <row r="236" spans="1:12" x14ac:dyDescent="0.25">
      <c r="A236" s="981" t="s">
        <v>259</v>
      </c>
      <c r="B236" s="981" t="s">
        <v>251</v>
      </c>
      <c r="C236" s="981"/>
      <c r="D236" s="981" t="s">
        <v>38</v>
      </c>
      <c r="E236" s="981">
        <v>49</v>
      </c>
      <c r="F236" s="981"/>
      <c r="G236" s="981"/>
      <c r="H236" s="981">
        <v>10</v>
      </c>
      <c r="I236" s="981">
        <v>34</v>
      </c>
      <c r="J236" s="981"/>
      <c r="K236" s="981"/>
      <c r="L236" s="981">
        <v>5</v>
      </c>
    </row>
    <row r="237" spans="1:12" x14ac:dyDescent="0.25">
      <c r="A237" s="981" t="s">
        <v>259</v>
      </c>
      <c r="B237" s="981" t="s">
        <v>251</v>
      </c>
      <c r="C237" s="981"/>
      <c r="D237" s="981" t="s">
        <v>40</v>
      </c>
      <c r="E237" s="981">
        <v>23</v>
      </c>
      <c r="F237" s="981"/>
      <c r="G237" s="981"/>
      <c r="H237" s="981">
        <v>5</v>
      </c>
      <c r="I237" s="981">
        <v>13</v>
      </c>
      <c r="J237" s="981"/>
      <c r="K237" s="981"/>
      <c r="L237" s="981">
        <v>5</v>
      </c>
    </row>
    <row r="238" spans="1:12" x14ac:dyDescent="0.25">
      <c r="A238" s="981" t="s">
        <v>259</v>
      </c>
      <c r="B238" s="981" t="s">
        <v>251</v>
      </c>
      <c r="C238" s="981"/>
      <c r="D238" s="981" t="s">
        <v>41</v>
      </c>
      <c r="E238" s="981">
        <v>51</v>
      </c>
      <c r="F238" s="981"/>
      <c r="G238" s="981"/>
      <c r="H238" s="981">
        <v>10</v>
      </c>
      <c r="I238" s="981">
        <v>30</v>
      </c>
      <c r="J238" s="981"/>
      <c r="K238" s="981"/>
      <c r="L238" s="981">
        <v>11</v>
      </c>
    </row>
    <row r="239" spans="1:12" x14ac:dyDescent="0.25">
      <c r="A239" s="981" t="s">
        <v>259</v>
      </c>
      <c r="B239" s="981" t="s">
        <v>251</v>
      </c>
      <c r="C239" s="981"/>
      <c r="D239" s="981" t="s">
        <v>42</v>
      </c>
      <c r="E239" s="981">
        <v>87</v>
      </c>
      <c r="F239" s="981"/>
      <c r="G239" s="981"/>
      <c r="H239" s="981">
        <v>22</v>
      </c>
      <c r="I239" s="981">
        <v>49</v>
      </c>
      <c r="J239" s="981"/>
      <c r="K239" s="981"/>
      <c r="L239" s="981">
        <v>16</v>
      </c>
    </row>
    <row r="240" spans="1:12" x14ac:dyDescent="0.25">
      <c r="A240" s="981" t="s">
        <v>259</v>
      </c>
      <c r="B240" s="981" t="s">
        <v>251</v>
      </c>
      <c r="C240" s="981"/>
      <c r="D240" s="981" t="s">
        <v>44</v>
      </c>
      <c r="E240" s="981">
        <v>68</v>
      </c>
      <c r="F240" s="981"/>
      <c r="G240" s="981"/>
      <c r="H240" s="981">
        <v>15</v>
      </c>
      <c r="I240" s="981">
        <v>49</v>
      </c>
      <c r="J240" s="981"/>
      <c r="K240" s="981"/>
      <c r="L240" s="981">
        <v>4</v>
      </c>
    </row>
    <row r="241" spans="1:12" x14ac:dyDescent="0.25">
      <c r="A241" s="981" t="s">
        <v>259</v>
      </c>
      <c r="B241" s="981" t="s">
        <v>251</v>
      </c>
      <c r="C241" s="981"/>
      <c r="D241" s="981" t="s">
        <v>45</v>
      </c>
      <c r="E241" s="981">
        <v>72</v>
      </c>
      <c r="F241" s="981"/>
      <c r="G241" s="981"/>
      <c r="H241" s="981">
        <v>15</v>
      </c>
      <c r="I241" s="981">
        <v>44</v>
      </c>
      <c r="J241" s="981"/>
      <c r="K241" s="981"/>
      <c r="L241" s="981">
        <v>13</v>
      </c>
    </row>
    <row r="242" spans="1:12" x14ac:dyDescent="0.25">
      <c r="A242" s="981" t="s">
        <v>259</v>
      </c>
      <c r="B242" s="981" t="s">
        <v>251</v>
      </c>
      <c r="C242" s="981"/>
      <c r="D242" s="981" t="s">
        <v>46</v>
      </c>
      <c r="E242" s="981">
        <v>28</v>
      </c>
      <c r="F242" s="981"/>
      <c r="G242" s="981"/>
      <c r="H242" s="981">
        <v>5</v>
      </c>
      <c r="I242" s="981">
        <v>18</v>
      </c>
      <c r="J242" s="981"/>
      <c r="K242" s="981"/>
      <c r="L242" s="981">
        <v>5</v>
      </c>
    </row>
    <row r="243" spans="1:12" x14ac:dyDescent="0.25">
      <c r="A243" s="981" t="s">
        <v>259</v>
      </c>
      <c r="B243" s="981" t="s">
        <v>251</v>
      </c>
      <c r="C243" s="981"/>
      <c r="D243" s="981" t="s">
        <v>47</v>
      </c>
      <c r="E243" s="981">
        <v>29</v>
      </c>
      <c r="F243" s="981"/>
      <c r="G243" s="981"/>
      <c r="H243" s="981">
        <v>5</v>
      </c>
      <c r="I243" s="981">
        <v>19</v>
      </c>
      <c r="J243" s="981"/>
      <c r="K243" s="981"/>
      <c r="L243" s="981">
        <v>5</v>
      </c>
    </row>
    <row r="244" spans="1:12" x14ac:dyDescent="0.25">
      <c r="A244" s="981" t="s">
        <v>259</v>
      </c>
      <c r="B244" s="981" t="s">
        <v>251</v>
      </c>
      <c r="C244" s="981"/>
      <c r="D244" s="981" t="s">
        <v>49</v>
      </c>
      <c r="E244" s="981">
        <v>76</v>
      </c>
      <c r="F244" s="981"/>
      <c r="G244" s="981"/>
      <c r="H244" s="981">
        <v>16</v>
      </c>
      <c r="I244" s="981">
        <v>45</v>
      </c>
      <c r="J244" s="981"/>
      <c r="K244" s="981"/>
      <c r="L244" s="981">
        <v>15</v>
      </c>
    </row>
    <row r="245" spans="1:12" x14ac:dyDescent="0.25">
      <c r="A245" s="981" t="s">
        <v>259</v>
      </c>
      <c r="B245" s="981" t="s">
        <v>251</v>
      </c>
      <c r="C245" s="981"/>
      <c r="D245" s="981" t="s">
        <v>52</v>
      </c>
      <c r="E245" s="981">
        <v>69</v>
      </c>
      <c r="F245" s="981"/>
      <c r="G245" s="981"/>
      <c r="H245" s="981">
        <v>10</v>
      </c>
      <c r="I245" s="981">
        <v>54</v>
      </c>
      <c r="J245" s="981"/>
      <c r="K245" s="981"/>
      <c r="L245" s="981">
        <v>5</v>
      </c>
    </row>
    <row r="246" spans="1:12" x14ac:dyDescent="0.25">
      <c r="A246" s="981" t="s">
        <v>259</v>
      </c>
      <c r="B246" s="981" t="s">
        <v>251</v>
      </c>
      <c r="C246" s="981"/>
      <c r="D246" s="981" t="s">
        <v>54</v>
      </c>
      <c r="E246" s="981">
        <v>51</v>
      </c>
      <c r="F246" s="981"/>
      <c r="G246" s="981"/>
      <c r="H246" s="981">
        <v>9</v>
      </c>
      <c r="I246" s="981">
        <v>32</v>
      </c>
      <c r="J246" s="981"/>
      <c r="K246" s="981"/>
      <c r="L246" s="981">
        <v>10</v>
      </c>
    </row>
    <row r="247" spans="1:12" x14ac:dyDescent="0.25">
      <c r="A247" s="981" t="s">
        <v>259</v>
      </c>
      <c r="B247" s="981" t="s">
        <v>251</v>
      </c>
      <c r="C247" s="981"/>
      <c r="D247" s="981" t="s">
        <v>56</v>
      </c>
      <c r="E247" s="981">
        <v>50</v>
      </c>
      <c r="F247" s="981"/>
      <c r="G247" s="981"/>
      <c r="H247" s="981">
        <v>10</v>
      </c>
      <c r="I247" s="981">
        <v>35</v>
      </c>
      <c r="J247" s="981"/>
      <c r="K247" s="981"/>
      <c r="L247" s="981">
        <v>5</v>
      </c>
    </row>
    <row r="248" spans="1:12" x14ac:dyDescent="0.25">
      <c r="A248" s="981" t="s">
        <v>259</v>
      </c>
      <c r="B248" s="981" t="s">
        <v>251</v>
      </c>
      <c r="C248" s="981"/>
      <c r="D248" s="981" t="s">
        <v>57</v>
      </c>
      <c r="E248" s="981">
        <v>166</v>
      </c>
      <c r="F248" s="981"/>
      <c r="G248" s="981"/>
      <c r="H248" s="981">
        <v>35</v>
      </c>
      <c r="I248" s="981">
        <v>111</v>
      </c>
      <c r="J248" s="981"/>
      <c r="K248" s="981"/>
      <c r="L248" s="981">
        <v>20</v>
      </c>
    </row>
    <row r="249" spans="1:12" x14ac:dyDescent="0.25">
      <c r="A249" s="981" t="s">
        <v>259</v>
      </c>
      <c r="B249" s="981" t="s">
        <v>251</v>
      </c>
      <c r="C249" s="981"/>
      <c r="D249" s="981" t="s">
        <v>58</v>
      </c>
      <c r="E249" s="981">
        <v>48</v>
      </c>
      <c r="F249" s="981"/>
      <c r="G249" s="981"/>
      <c r="H249" s="981">
        <v>9</v>
      </c>
      <c r="I249" s="981">
        <v>34</v>
      </c>
      <c r="J249" s="981"/>
      <c r="K249" s="981"/>
      <c r="L249" s="981">
        <v>5</v>
      </c>
    </row>
    <row r="250" spans="1:12" x14ac:dyDescent="0.25">
      <c r="A250" s="981" t="s">
        <v>259</v>
      </c>
      <c r="B250" s="981" t="s">
        <v>251</v>
      </c>
      <c r="C250" s="981"/>
      <c r="D250" s="981" t="s">
        <v>31</v>
      </c>
      <c r="E250" s="981">
        <v>145</v>
      </c>
      <c r="F250" s="981"/>
      <c r="G250" s="981"/>
      <c r="H250" s="981">
        <v>33</v>
      </c>
      <c r="I250" s="981">
        <v>97</v>
      </c>
      <c r="J250" s="981"/>
      <c r="K250" s="981"/>
      <c r="L250" s="981">
        <v>15</v>
      </c>
    </row>
    <row r="251" spans="1:12" x14ac:dyDescent="0.25">
      <c r="A251" s="981" t="s">
        <v>259</v>
      </c>
      <c r="B251" s="981" t="s">
        <v>251</v>
      </c>
      <c r="C251" s="981"/>
      <c r="D251" s="981" t="s">
        <v>32</v>
      </c>
      <c r="E251" s="981">
        <v>24</v>
      </c>
      <c r="F251" s="981"/>
      <c r="G251" s="981"/>
      <c r="H251" s="981">
        <v>5</v>
      </c>
      <c r="I251" s="981">
        <v>14</v>
      </c>
      <c r="J251" s="981"/>
      <c r="K251" s="981"/>
      <c r="L251" s="981">
        <v>5</v>
      </c>
    </row>
    <row r="252" spans="1:12" x14ac:dyDescent="0.25">
      <c r="A252" s="981" t="s">
        <v>259</v>
      </c>
      <c r="B252" s="981" t="s">
        <v>251</v>
      </c>
      <c r="C252" s="981"/>
      <c r="D252" s="981" t="s">
        <v>34</v>
      </c>
      <c r="E252" s="981">
        <v>50</v>
      </c>
      <c r="F252" s="981"/>
      <c r="G252" s="981"/>
      <c r="H252" s="981">
        <v>10</v>
      </c>
      <c r="I252" s="981">
        <v>30</v>
      </c>
      <c r="J252" s="981"/>
      <c r="K252" s="981"/>
      <c r="L252" s="981">
        <v>10</v>
      </c>
    </row>
    <row r="253" spans="1:12" x14ac:dyDescent="0.25">
      <c r="A253" s="981" t="s">
        <v>259</v>
      </c>
      <c r="B253" s="981" t="s">
        <v>251</v>
      </c>
      <c r="C253" s="981"/>
      <c r="D253" s="981" t="s">
        <v>262</v>
      </c>
      <c r="E253" s="981">
        <v>293</v>
      </c>
      <c r="F253" s="981"/>
      <c r="G253" s="981"/>
      <c r="H253" s="981">
        <v>54</v>
      </c>
      <c r="I253" s="981">
        <v>204</v>
      </c>
      <c r="J253" s="981"/>
      <c r="K253" s="981"/>
      <c r="L253" s="981">
        <v>35</v>
      </c>
    </row>
    <row r="254" spans="1:12" x14ac:dyDescent="0.25">
      <c r="A254" s="981" t="s">
        <v>259</v>
      </c>
      <c r="B254" s="981" t="s">
        <v>251</v>
      </c>
      <c r="C254" s="981"/>
      <c r="D254" s="981" t="s">
        <v>53</v>
      </c>
      <c r="E254" s="981">
        <v>94</v>
      </c>
      <c r="F254" s="981"/>
      <c r="G254" s="981"/>
      <c r="H254" s="981">
        <v>20</v>
      </c>
      <c r="I254" s="981">
        <v>59</v>
      </c>
      <c r="J254" s="981"/>
      <c r="K254" s="981"/>
      <c r="L254" s="981">
        <v>15</v>
      </c>
    </row>
    <row r="255" spans="1:12" x14ac:dyDescent="0.25">
      <c r="A255" s="981" t="s">
        <v>259</v>
      </c>
      <c r="B255" s="981" t="s">
        <v>251</v>
      </c>
      <c r="C255" s="981"/>
      <c r="D255" s="981" t="s">
        <v>59</v>
      </c>
      <c r="E255" s="981">
        <v>68</v>
      </c>
      <c r="F255" s="981"/>
      <c r="G255" s="981"/>
      <c r="H255" s="981">
        <v>15</v>
      </c>
      <c r="I255" s="981">
        <v>43</v>
      </c>
      <c r="J255" s="981"/>
      <c r="K255" s="981"/>
      <c r="L255" s="981">
        <v>10</v>
      </c>
    </row>
    <row r="256" spans="1:12" x14ac:dyDescent="0.25">
      <c r="A256" s="981" t="s">
        <v>259</v>
      </c>
      <c r="B256" s="981" t="s">
        <v>251</v>
      </c>
      <c r="C256" s="981"/>
      <c r="D256" s="981" t="s">
        <v>60</v>
      </c>
      <c r="E256" s="981">
        <v>58</v>
      </c>
      <c r="F256" s="981"/>
      <c r="G256" s="981"/>
      <c r="H256" s="981">
        <v>11</v>
      </c>
      <c r="I256" s="981">
        <v>37</v>
      </c>
      <c r="J256" s="981"/>
      <c r="K256" s="981"/>
      <c r="L256" s="981">
        <v>10</v>
      </c>
    </row>
    <row r="257" spans="1:12" x14ac:dyDescent="0.25">
      <c r="A257" s="981" t="s">
        <v>259</v>
      </c>
      <c r="B257" s="981" t="s">
        <v>251</v>
      </c>
      <c r="C257" s="981"/>
      <c r="D257" s="981" t="s">
        <v>33</v>
      </c>
      <c r="E257" s="981">
        <v>28</v>
      </c>
      <c r="F257" s="981"/>
      <c r="G257" s="981"/>
      <c r="H257" s="981">
        <v>5</v>
      </c>
      <c r="I257" s="981">
        <v>18</v>
      </c>
      <c r="J257" s="981"/>
      <c r="K257" s="981"/>
      <c r="L257" s="981">
        <v>5</v>
      </c>
    </row>
    <row r="258" spans="1:12" x14ac:dyDescent="0.25">
      <c r="A258" s="981" t="s">
        <v>259</v>
      </c>
      <c r="B258" s="981" t="s">
        <v>251</v>
      </c>
      <c r="C258" s="981"/>
      <c r="D258" s="981" t="s">
        <v>37</v>
      </c>
      <c r="E258" s="981">
        <v>178</v>
      </c>
      <c r="F258" s="981"/>
      <c r="G258" s="981"/>
      <c r="H258" s="981">
        <v>35</v>
      </c>
      <c r="I258" s="981">
        <v>122</v>
      </c>
      <c r="J258" s="981"/>
      <c r="K258" s="981"/>
      <c r="L258" s="981">
        <v>21</v>
      </c>
    </row>
    <row r="259" spans="1:12" x14ac:dyDescent="0.25">
      <c r="A259" s="981" t="s">
        <v>259</v>
      </c>
      <c r="B259" s="981" t="s">
        <v>251</v>
      </c>
      <c r="C259" s="981"/>
      <c r="D259" s="981" t="s">
        <v>50</v>
      </c>
      <c r="E259" s="981">
        <v>163</v>
      </c>
      <c r="F259" s="981"/>
      <c r="G259" s="981"/>
      <c r="H259" s="981">
        <v>31</v>
      </c>
      <c r="I259" s="981">
        <v>113</v>
      </c>
      <c r="J259" s="981"/>
      <c r="K259" s="981"/>
      <c r="L259" s="981">
        <v>19</v>
      </c>
    </row>
    <row r="260" spans="1:12" x14ac:dyDescent="0.25">
      <c r="A260" s="981" t="s">
        <v>259</v>
      </c>
      <c r="B260" s="981" t="s">
        <v>251</v>
      </c>
      <c r="C260" s="981"/>
      <c r="D260" s="981" t="s">
        <v>39</v>
      </c>
      <c r="E260" s="981">
        <v>78</v>
      </c>
      <c r="F260" s="981"/>
      <c r="G260" s="981"/>
      <c r="H260" s="981">
        <v>15</v>
      </c>
      <c r="I260" s="981">
        <v>48</v>
      </c>
      <c r="J260" s="981"/>
      <c r="K260" s="981"/>
      <c r="L260" s="981">
        <v>15</v>
      </c>
    </row>
    <row r="261" spans="1:12" x14ac:dyDescent="0.25">
      <c r="A261" s="981" t="s">
        <v>259</v>
      </c>
      <c r="B261" s="981" t="s">
        <v>251</v>
      </c>
      <c r="C261" s="981"/>
      <c r="D261" s="981" t="s">
        <v>124</v>
      </c>
      <c r="E261" s="981">
        <v>489</v>
      </c>
      <c r="F261" s="981"/>
      <c r="G261" s="981"/>
      <c r="H261" s="981">
        <v>113</v>
      </c>
      <c r="I261" s="981">
        <v>319</v>
      </c>
      <c r="J261" s="981"/>
      <c r="K261" s="981"/>
      <c r="L261" s="981">
        <v>57</v>
      </c>
    </row>
    <row r="262" spans="1:12" x14ac:dyDescent="0.25">
      <c r="A262" s="981" t="s">
        <v>259</v>
      </c>
      <c r="B262" s="981" t="s">
        <v>251</v>
      </c>
      <c r="C262" s="981"/>
      <c r="D262" s="981" t="s">
        <v>43</v>
      </c>
      <c r="E262" s="981">
        <v>254</v>
      </c>
      <c r="F262" s="981"/>
      <c r="G262" s="981"/>
      <c r="H262" s="981">
        <v>49</v>
      </c>
      <c r="I262" s="981">
        <v>181</v>
      </c>
      <c r="J262" s="981"/>
      <c r="K262" s="981"/>
      <c r="L262" s="981">
        <v>24</v>
      </c>
    </row>
    <row r="263" spans="1:12" x14ac:dyDescent="0.25">
      <c r="A263" s="981" t="s">
        <v>259</v>
      </c>
      <c r="B263" s="981" t="s">
        <v>252</v>
      </c>
      <c r="C263" s="981"/>
      <c r="D263" s="981" t="s">
        <v>286</v>
      </c>
      <c r="E263" s="981">
        <v>377</v>
      </c>
      <c r="F263" s="981">
        <v>16</v>
      </c>
      <c r="G263" s="981"/>
      <c r="H263" s="981">
        <v>63</v>
      </c>
      <c r="I263" s="981">
        <v>28</v>
      </c>
      <c r="J263" s="981">
        <v>46</v>
      </c>
      <c r="K263" s="981">
        <v>115</v>
      </c>
      <c r="L263" s="981">
        <v>109</v>
      </c>
    </row>
    <row r="264" spans="1:12" x14ac:dyDescent="0.25">
      <c r="A264" s="981" t="s">
        <v>259</v>
      </c>
      <c r="B264" s="981" t="s">
        <v>252</v>
      </c>
      <c r="C264" s="981"/>
      <c r="D264" s="981" t="s">
        <v>31</v>
      </c>
      <c r="E264" s="981">
        <v>15</v>
      </c>
      <c r="F264" s="981">
        <v>1</v>
      </c>
      <c r="G264" s="981"/>
      <c r="H264" s="981">
        <v>2</v>
      </c>
      <c r="I264" s="981">
        <v>2</v>
      </c>
      <c r="J264" s="981">
        <v>2</v>
      </c>
      <c r="K264" s="981">
        <v>3</v>
      </c>
      <c r="L264" s="981">
        <v>5</v>
      </c>
    </row>
    <row r="265" spans="1:12" x14ac:dyDescent="0.25">
      <c r="A265" s="981" t="s">
        <v>259</v>
      </c>
      <c r="B265" s="981" t="s">
        <v>252</v>
      </c>
      <c r="C265" s="981"/>
      <c r="D265" s="981" t="s">
        <v>64</v>
      </c>
      <c r="E265" s="981">
        <v>25</v>
      </c>
      <c r="F265" s="981">
        <v>1</v>
      </c>
      <c r="G265" s="981"/>
      <c r="H265" s="981">
        <v>7</v>
      </c>
      <c r="I265" s="981"/>
      <c r="J265" s="981">
        <v>2</v>
      </c>
      <c r="K265" s="981">
        <v>7</v>
      </c>
      <c r="L265" s="981">
        <v>8</v>
      </c>
    </row>
    <row r="266" spans="1:12" x14ac:dyDescent="0.25">
      <c r="A266" s="981" t="s">
        <v>259</v>
      </c>
      <c r="B266" s="981" t="s">
        <v>252</v>
      </c>
      <c r="C266" s="981"/>
      <c r="D266" s="981" t="s">
        <v>65</v>
      </c>
      <c r="E266" s="981">
        <v>26</v>
      </c>
      <c r="F266" s="981">
        <v>1</v>
      </c>
      <c r="G266" s="981"/>
      <c r="H266" s="981">
        <v>6</v>
      </c>
      <c r="I266" s="981">
        <v>1</v>
      </c>
      <c r="J266" s="981">
        <v>3</v>
      </c>
      <c r="K266" s="981">
        <v>9</v>
      </c>
      <c r="L266" s="981">
        <v>6</v>
      </c>
    </row>
    <row r="267" spans="1:12" x14ac:dyDescent="0.25">
      <c r="A267" s="981" t="s">
        <v>259</v>
      </c>
      <c r="B267" s="981" t="s">
        <v>252</v>
      </c>
      <c r="C267" s="981"/>
      <c r="D267" s="981" t="s">
        <v>36</v>
      </c>
      <c r="E267" s="981">
        <v>22</v>
      </c>
      <c r="F267" s="981">
        <v>1</v>
      </c>
      <c r="G267" s="981"/>
      <c r="H267" s="981">
        <v>4</v>
      </c>
      <c r="I267" s="981">
        <v>2</v>
      </c>
      <c r="J267" s="981">
        <v>2</v>
      </c>
      <c r="K267" s="981">
        <v>6</v>
      </c>
      <c r="L267" s="981">
        <v>7</v>
      </c>
    </row>
    <row r="268" spans="1:12" x14ac:dyDescent="0.25">
      <c r="A268" s="981" t="s">
        <v>259</v>
      </c>
      <c r="B268" s="981" t="s">
        <v>252</v>
      </c>
      <c r="C268" s="981"/>
      <c r="D268" s="981" t="s">
        <v>68</v>
      </c>
      <c r="E268" s="981">
        <v>27</v>
      </c>
      <c r="F268" s="981">
        <v>1</v>
      </c>
      <c r="G268" s="981"/>
      <c r="H268" s="981">
        <v>5</v>
      </c>
      <c r="I268" s="981">
        <v>1</v>
      </c>
      <c r="J268" s="981">
        <v>3</v>
      </c>
      <c r="K268" s="981">
        <v>9</v>
      </c>
      <c r="L268" s="981">
        <v>8</v>
      </c>
    </row>
    <row r="269" spans="1:12" x14ac:dyDescent="0.25">
      <c r="A269" s="981" t="s">
        <v>259</v>
      </c>
      <c r="B269" s="981" t="s">
        <v>252</v>
      </c>
      <c r="C269" s="981"/>
      <c r="D269" s="981" t="s">
        <v>69</v>
      </c>
      <c r="E269" s="981">
        <v>27</v>
      </c>
      <c r="F269" s="981">
        <v>1</v>
      </c>
      <c r="G269" s="981"/>
      <c r="H269" s="981">
        <v>3</v>
      </c>
      <c r="I269" s="981">
        <v>5</v>
      </c>
      <c r="J269" s="981">
        <v>3</v>
      </c>
      <c r="K269" s="981">
        <v>7</v>
      </c>
      <c r="L269" s="981">
        <v>8</v>
      </c>
    </row>
    <row r="270" spans="1:12" x14ac:dyDescent="0.25">
      <c r="A270" s="981" t="s">
        <v>259</v>
      </c>
      <c r="B270" s="981" t="s">
        <v>252</v>
      </c>
      <c r="C270" s="981"/>
      <c r="D270" s="981" t="s">
        <v>70</v>
      </c>
      <c r="E270" s="981">
        <v>16</v>
      </c>
      <c r="F270" s="981">
        <v>1</v>
      </c>
      <c r="G270" s="981"/>
      <c r="H270" s="981">
        <v>2</v>
      </c>
      <c r="I270" s="981">
        <v>2</v>
      </c>
      <c r="J270" s="981">
        <v>3</v>
      </c>
      <c r="K270" s="981">
        <v>4</v>
      </c>
      <c r="L270" s="981">
        <v>4</v>
      </c>
    </row>
    <row r="271" spans="1:12" x14ac:dyDescent="0.25">
      <c r="A271" s="981" t="s">
        <v>259</v>
      </c>
      <c r="B271" s="981" t="s">
        <v>252</v>
      </c>
      <c r="C271" s="981"/>
      <c r="D271" s="981" t="s">
        <v>178</v>
      </c>
      <c r="E271" s="981">
        <v>31</v>
      </c>
      <c r="F271" s="981">
        <v>1</v>
      </c>
      <c r="G271" s="981"/>
      <c r="H271" s="981">
        <v>6</v>
      </c>
      <c r="I271" s="981">
        <v>3</v>
      </c>
      <c r="J271" s="981">
        <v>3</v>
      </c>
      <c r="K271" s="981">
        <v>7</v>
      </c>
      <c r="L271" s="981">
        <v>11</v>
      </c>
    </row>
    <row r="272" spans="1:12" x14ac:dyDescent="0.25">
      <c r="A272" s="981" t="s">
        <v>259</v>
      </c>
      <c r="B272" s="981" t="s">
        <v>252</v>
      </c>
      <c r="C272" s="981"/>
      <c r="D272" s="981" t="s">
        <v>71</v>
      </c>
      <c r="E272" s="981">
        <v>19</v>
      </c>
      <c r="F272" s="981">
        <v>1</v>
      </c>
      <c r="G272" s="981"/>
      <c r="H272" s="981">
        <v>3</v>
      </c>
      <c r="I272" s="981">
        <v>2</v>
      </c>
      <c r="J272" s="981">
        <v>2</v>
      </c>
      <c r="K272" s="981">
        <v>5</v>
      </c>
      <c r="L272" s="981">
        <v>6</v>
      </c>
    </row>
    <row r="273" spans="1:12" x14ac:dyDescent="0.25">
      <c r="A273" s="981" t="s">
        <v>259</v>
      </c>
      <c r="B273" s="981" t="s">
        <v>252</v>
      </c>
      <c r="C273" s="981"/>
      <c r="D273" s="981" t="s">
        <v>124</v>
      </c>
      <c r="E273" s="981">
        <v>22</v>
      </c>
      <c r="F273" s="981">
        <v>1</v>
      </c>
      <c r="G273" s="981"/>
      <c r="H273" s="981">
        <v>2</v>
      </c>
      <c r="I273" s="981">
        <v>1</v>
      </c>
      <c r="J273" s="981">
        <v>4</v>
      </c>
      <c r="K273" s="981">
        <v>8</v>
      </c>
      <c r="L273" s="981">
        <v>6</v>
      </c>
    </row>
    <row r="274" spans="1:12" x14ac:dyDescent="0.25">
      <c r="A274" s="981" t="s">
        <v>259</v>
      </c>
      <c r="B274" s="981" t="s">
        <v>252</v>
      </c>
      <c r="C274" s="981"/>
      <c r="D274" s="981" t="s">
        <v>72</v>
      </c>
      <c r="E274" s="981">
        <v>32</v>
      </c>
      <c r="F274" s="981">
        <v>1</v>
      </c>
      <c r="G274" s="981"/>
      <c r="H274" s="981">
        <v>7</v>
      </c>
      <c r="I274" s="981">
        <v>1</v>
      </c>
      <c r="J274" s="981">
        <v>4</v>
      </c>
      <c r="K274" s="981">
        <v>12</v>
      </c>
      <c r="L274" s="981">
        <v>7</v>
      </c>
    </row>
    <row r="275" spans="1:12" x14ac:dyDescent="0.25">
      <c r="A275" s="981" t="s">
        <v>259</v>
      </c>
      <c r="B275" s="981" t="s">
        <v>252</v>
      </c>
      <c r="C275" s="981"/>
      <c r="D275" s="981" t="s">
        <v>50</v>
      </c>
      <c r="E275" s="981">
        <v>17</v>
      </c>
      <c r="F275" s="981">
        <v>1</v>
      </c>
      <c r="G275" s="981"/>
      <c r="H275" s="981">
        <v>2</v>
      </c>
      <c r="I275" s="981">
        <v>1</v>
      </c>
      <c r="J275" s="981">
        <v>2</v>
      </c>
      <c r="K275" s="981">
        <v>6</v>
      </c>
      <c r="L275" s="981">
        <v>5</v>
      </c>
    </row>
    <row r="276" spans="1:12" x14ac:dyDescent="0.25">
      <c r="A276" s="981" t="s">
        <v>259</v>
      </c>
      <c r="B276" s="981" t="s">
        <v>252</v>
      </c>
      <c r="C276" s="981"/>
      <c r="D276" s="981" t="s">
        <v>57</v>
      </c>
      <c r="E276" s="981">
        <v>16</v>
      </c>
      <c r="F276" s="981">
        <v>1</v>
      </c>
      <c r="G276" s="981"/>
      <c r="H276" s="981">
        <v>2</v>
      </c>
      <c r="I276" s="981">
        <v>1</v>
      </c>
      <c r="J276" s="981">
        <v>2</v>
      </c>
      <c r="K276" s="981">
        <v>6</v>
      </c>
      <c r="L276" s="981">
        <v>4</v>
      </c>
    </row>
    <row r="277" spans="1:12" x14ac:dyDescent="0.25">
      <c r="A277" s="981" t="s">
        <v>259</v>
      </c>
      <c r="B277" s="981" t="s">
        <v>252</v>
      </c>
      <c r="C277" s="981"/>
      <c r="D277" s="981" t="s">
        <v>73</v>
      </c>
      <c r="E277" s="981">
        <v>18</v>
      </c>
      <c r="F277" s="981">
        <v>1</v>
      </c>
      <c r="G277" s="981"/>
      <c r="H277" s="981">
        <v>3</v>
      </c>
      <c r="I277" s="981">
        <v>1</v>
      </c>
      <c r="J277" s="981">
        <v>3</v>
      </c>
      <c r="K277" s="981">
        <v>5</v>
      </c>
      <c r="L277" s="981">
        <v>5</v>
      </c>
    </row>
    <row r="278" spans="1:12" x14ac:dyDescent="0.25">
      <c r="A278" s="981" t="s">
        <v>259</v>
      </c>
      <c r="B278" s="981" t="s">
        <v>252</v>
      </c>
      <c r="C278" s="981"/>
      <c r="D278" s="981" t="s">
        <v>74</v>
      </c>
      <c r="E278" s="981">
        <v>18</v>
      </c>
      <c r="F278" s="981">
        <v>1</v>
      </c>
      <c r="G278" s="981"/>
      <c r="H278" s="981">
        <v>5</v>
      </c>
      <c r="I278" s="981"/>
      <c r="J278" s="981">
        <v>2</v>
      </c>
      <c r="K278" s="981">
        <v>6</v>
      </c>
      <c r="L278" s="981">
        <v>4</v>
      </c>
    </row>
    <row r="279" spans="1:12" x14ac:dyDescent="0.25">
      <c r="A279" s="981" t="s">
        <v>259</v>
      </c>
      <c r="B279" s="981" t="s">
        <v>252</v>
      </c>
      <c r="C279" s="981"/>
      <c r="D279" s="981" t="s">
        <v>67</v>
      </c>
      <c r="E279" s="981">
        <v>28</v>
      </c>
      <c r="F279" s="981">
        <v>1</v>
      </c>
      <c r="G279" s="981"/>
      <c r="H279" s="981">
        <v>3</v>
      </c>
      <c r="I279" s="981">
        <v>2</v>
      </c>
      <c r="J279" s="981">
        <v>4</v>
      </c>
      <c r="K279" s="981">
        <v>9</v>
      </c>
      <c r="L279" s="981">
        <v>9</v>
      </c>
    </row>
    <row r="280" spans="1:12" x14ac:dyDescent="0.25">
      <c r="A280" s="981" t="s">
        <v>259</v>
      </c>
      <c r="B280" s="981" t="s">
        <v>252</v>
      </c>
      <c r="C280" s="981"/>
      <c r="D280" s="981" t="s">
        <v>43</v>
      </c>
      <c r="E280" s="981">
        <v>19</v>
      </c>
      <c r="F280" s="981"/>
      <c r="G280" s="981"/>
      <c r="H280" s="981">
        <v>1</v>
      </c>
      <c r="I280" s="981">
        <v>4</v>
      </c>
      <c r="J280" s="981">
        <v>2</v>
      </c>
      <c r="K280" s="981">
        <v>6</v>
      </c>
      <c r="L280" s="981">
        <v>6</v>
      </c>
    </row>
    <row r="281" spans="1:12" x14ac:dyDescent="0.25">
      <c r="A281" s="981" t="s">
        <v>259</v>
      </c>
      <c r="B281" s="981" t="s">
        <v>253</v>
      </c>
      <c r="C281" s="981"/>
      <c r="D281" s="981" t="s">
        <v>286</v>
      </c>
      <c r="E281" s="981">
        <v>156</v>
      </c>
      <c r="F281" s="981">
        <v>3</v>
      </c>
      <c r="G281" s="981"/>
      <c r="H281" s="981">
        <v>38</v>
      </c>
      <c r="I281" s="981"/>
      <c r="J281" s="981">
        <v>15</v>
      </c>
      <c r="K281" s="981">
        <v>29</v>
      </c>
      <c r="L281" s="981">
        <v>71</v>
      </c>
    </row>
    <row r="282" spans="1:12" x14ac:dyDescent="0.25">
      <c r="A282" s="981" t="s">
        <v>259</v>
      </c>
      <c r="B282" s="981" t="s">
        <v>253</v>
      </c>
      <c r="C282" s="981"/>
      <c r="D282" s="981" t="s">
        <v>176</v>
      </c>
      <c r="E282" s="981">
        <v>73</v>
      </c>
      <c r="F282" s="981">
        <v>1</v>
      </c>
      <c r="G282" s="981"/>
      <c r="H282" s="981">
        <v>18</v>
      </c>
      <c r="I282" s="981"/>
      <c r="J282" s="981">
        <v>4</v>
      </c>
      <c r="K282" s="981">
        <v>13</v>
      </c>
      <c r="L282" s="981">
        <v>37</v>
      </c>
    </row>
    <row r="283" spans="1:12" x14ac:dyDescent="0.25">
      <c r="A283" s="981" t="s">
        <v>259</v>
      </c>
      <c r="B283" s="981" t="s">
        <v>253</v>
      </c>
      <c r="C283" s="981"/>
      <c r="D283" s="981" t="s">
        <v>177</v>
      </c>
      <c r="E283" s="981">
        <v>37</v>
      </c>
      <c r="F283" s="981">
        <v>1</v>
      </c>
      <c r="G283" s="981"/>
      <c r="H283" s="981">
        <v>9</v>
      </c>
      <c r="I283" s="981"/>
      <c r="J283" s="981">
        <v>5</v>
      </c>
      <c r="K283" s="981">
        <v>6</v>
      </c>
      <c r="L283" s="981">
        <v>16</v>
      </c>
    </row>
    <row r="284" spans="1:12" x14ac:dyDescent="0.25">
      <c r="A284" s="981" t="s">
        <v>259</v>
      </c>
      <c r="B284" s="981" t="s">
        <v>253</v>
      </c>
      <c r="C284" s="981"/>
      <c r="D284" s="981" t="s">
        <v>175</v>
      </c>
      <c r="E284" s="981">
        <v>46</v>
      </c>
      <c r="F284" s="981">
        <v>1</v>
      </c>
      <c r="G284" s="981"/>
      <c r="H284" s="981">
        <v>11</v>
      </c>
      <c r="I284" s="981"/>
      <c r="J284" s="981">
        <v>6</v>
      </c>
      <c r="K284" s="981">
        <v>10</v>
      </c>
      <c r="L284" s="981">
        <v>18</v>
      </c>
    </row>
    <row r="285" spans="1:12" x14ac:dyDescent="0.25">
      <c r="A285" s="981" t="s">
        <v>259</v>
      </c>
      <c r="B285" s="981" t="s">
        <v>254</v>
      </c>
      <c r="C285" s="981"/>
      <c r="D285" s="981" t="s">
        <v>263</v>
      </c>
      <c r="E285" s="981">
        <v>143</v>
      </c>
      <c r="F285" s="981">
        <v>15</v>
      </c>
      <c r="G285" s="981">
        <v>4</v>
      </c>
      <c r="H285" s="981"/>
      <c r="I285" s="981">
        <v>55</v>
      </c>
      <c r="J285" s="981">
        <v>13</v>
      </c>
      <c r="K285" s="981">
        <v>9</v>
      </c>
      <c r="L285" s="981">
        <v>47</v>
      </c>
    </row>
    <row r="286" spans="1:12" x14ac:dyDescent="0.25">
      <c r="A286" s="981" t="s">
        <v>259</v>
      </c>
      <c r="B286" s="981" t="s">
        <v>26</v>
      </c>
      <c r="C286" s="981"/>
      <c r="D286" s="981" t="s">
        <v>263</v>
      </c>
      <c r="E286" s="981">
        <v>3544</v>
      </c>
      <c r="F286" s="981">
        <v>34</v>
      </c>
      <c r="G286" s="981">
        <v>4</v>
      </c>
      <c r="H286" s="981">
        <v>689</v>
      </c>
      <c r="I286" s="981">
        <v>1988</v>
      </c>
      <c r="J286" s="981">
        <v>74</v>
      </c>
      <c r="K286" s="981">
        <v>153</v>
      </c>
      <c r="L286" s="981">
        <v>602</v>
      </c>
    </row>
    <row r="287" spans="1:12" x14ac:dyDescent="0.25">
      <c r="A287" s="981" t="s">
        <v>258</v>
      </c>
      <c r="B287" s="981" t="s">
        <v>251</v>
      </c>
      <c r="C287" s="981"/>
      <c r="D287" s="981" t="s">
        <v>286</v>
      </c>
      <c r="E287" s="981">
        <v>2954</v>
      </c>
      <c r="F287" s="981"/>
      <c r="G287" s="981"/>
      <c r="H287" s="981">
        <v>592</v>
      </c>
      <c r="I287" s="981">
        <v>1985</v>
      </c>
      <c r="J287" s="981"/>
      <c r="K287" s="981"/>
      <c r="L287" s="981">
        <v>377</v>
      </c>
    </row>
    <row r="288" spans="1:12" x14ac:dyDescent="0.25">
      <c r="A288" s="981" t="s">
        <v>258</v>
      </c>
      <c r="B288" s="981" t="s">
        <v>251</v>
      </c>
      <c r="C288" s="981"/>
      <c r="D288" s="981" t="s">
        <v>35</v>
      </c>
      <c r="E288" s="981">
        <v>25</v>
      </c>
      <c r="F288" s="981"/>
      <c r="G288" s="981"/>
      <c r="H288" s="981">
        <v>5</v>
      </c>
      <c r="I288" s="981">
        <v>15</v>
      </c>
      <c r="J288" s="981"/>
      <c r="K288" s="981"/>
      <c r="L288" s="981">
        <v>5</v>
      </c>
    </row>
    <row r="289" spans="1:12" x14ac:dyDescent="0.25">
      <c r="A289" s="981" t="s">
        <v>258</v>
      </c>
      <c r="B289" s="981" t="s">
        <v>251</v>
      </c>
      <c r="C289" s="981"/>
      <c r="D289" s="981" t="s">
        <v>36</v>
      </c>
      <c r="E289" s="981">
        <v>53</v>
      </c>
      <c r="F289" s="981"/>
      <c r="G289" s="981"/>
      <c r="H289" s="981">
        <v>10</v>
      </c>
      <c r="I289" s="981">
        <v>38</v>
      </c>
      <c r="J289" s="981"/>
      <c r="K289" s="981"/>
      <c r="L289" s="981">
        <v>5</v>
      </c>
    </row>
    <row r="290" spans="1:12" x14ac:dyDescent="0.25">
      <c r="A290" s="981" t="s">
        <v>258</v>
      </c>
      <c r="B290" s="981" t="s">
        <v>251</v>
      </c>
      <c r="C290" s="981"/>
      <c r="D290" s="981" t="s">
        <v>38</v>
      </c>
      <c r="E290" s="981">
        <v>47</v>
      </c>
      <c r="F290" s="981"/>
      <c r="G290" s="981"/>
      <c r="H290" s="981">
        <v>10</v>
      </c>
      <c r="I290" s="981">
        <v>32</v>
      </c>
      <c r="J290" s="981"/>
      <c r="K290" s="981"/>
      <c r="L290" s="981">
        <v>5</v>
      </c>
    </row>
    <row r="291" spans="1:12" x14ac:dyDescent="0.25">
      <c r="A291" s="981" t="s">
        <v>258</v>
      </c>
      <c r="B291" s="981" t="s">
        <v>251</v>
      </c>
      <c r="C291" s="981"/>
      <c r="D291" s="981" t="s">
        <v>40</v>
      </c>
      <c r="E291" s="981">
        <v>24</v>
      </c>
      <c r="F291" s="981"/>
      <c r="G291" s="981"/>
      <c r="H291" s="981">
        <v>5</v>
      </c>
      <c r="I291" s="981">
        <v>14</v>
      </c>
      <c r="J291" s="981"/>
      <c r="K291" s="981"/>
      <c r="L291" s="981">
        <v>5</v>
      </c>
    </row>
    <row r="292" spans="1:12" x14ac:dyDescent="0.25">
      <c r="A292" s="981" t="s">
        <v>258</v>
      </c>
      <c r="B292" s="981" t="s">
        <v>251</v>
      </c>
      <c r="C292" s="981"/>
      <c r="D292" s="981" t="s">
        <v>41</v>
      </c>
      <c r="E292" s="981">
        <v>52</v>
      </c>
      <c r="F292" s="981"/>
      <c r="G292" s="981"/>
      <c r="H292" s="981">
        <v>10</v>
      </c>
      <c r="I292" s="981">
        <v>31</v>
      </c>
      <c r="J292" s="981"/>
      <c r="K292" s="981"/>
      <c r="L292" s="981">
        <v>11</v>
      </c>
    </row>
    <row r="293" spans="1:12" x14ac:dyDescent="0.25">
      <c r="A293" s="981" t="s">
        <v>258</v>
      </c>
      <c r="B293" s="981" t="s">
        <v>251</v>
      </c>
      <c r="C293" s="981"/>
      <c r="D293" s="981" t="s">
        <v>42</v>
      </c>
      <c r="E293" s="981">
        <v>88</v>
      </c>
      <c r="F293" s="981"/>
      <c r="G293" s="981"/>
      <c r="H293" s="981">
        <v>20</v>
      </c>
      <c r="I293" s="981">
        <v>53</v>
      </c>
      <c r="J293" s="981"/>
      <c r="K293" s="981"/>
      <c r="L293" s="981">
        <v>15</v>
      </c>
    </row>
    <row r="294" spans="1:12" x14ac:dyDescent="0.25">
      <c r="A294" s="981" t="s">
        <v>258</v>
      </c>
      <c r="B294" s="981" t="s">
        <v>251</v>
      </c>
      <c r="C294" s="981"/>
      <c r="D294" s="981" t="s">
        <v>44</v>
      </c>
      <c r="E294" s="981">
        <v>70</v>
      </c>
      <c r="F294" s="981"/>
      <c r="G294" s="981"/>
      <c r="H294" s="981">
        <v>15</v>
      </c>
      <c r="I294" s="981">
        <v>50</v>
      </c>
      <c r="J294" s="981"/>
      <c r="K294" s="981"/>
      <c r="L294" s="981">
        <v>5</v>
      </c>
    </row>
    <row r="295" spans="1:12" x14ac:dyDescent="0.25">
      <c r="A295" s="981" t="s">
        <v>258</v>
      </c>
      <c r="B295" s="981" t="s">
        <v>251</v>
      </c>
      <c r="C295" s="981"/>
      <c r="D295" s="981" t="s">
        <v>45</v>
      </c>
      <c r="E295" s="981">
        <v>72</v>
      </c>
      <c r="F295" s="981"/>
      <c r="G295" s="981"/>
      <c r="H295" s="981">
        <v>15</v>
      </c>
      <c r="I295" s="981">
        <v>47</v>
      </c>
      <c r="J295" s="981"/>
      <c r="K295" s="981"/>
      <c r="L295" s="981">
        <v>10</v>
      </c>
    </row>
    <row r="296" spans="1:12" x14ac:dyDescent="0.25">
      <c r="A296" s="981" t="s">
        <v>258</v>
      </c>
      <c r="B296" s="981" t="s">
        <v>251</v>
      </c>
      <c r="C296" s="981"/>
      <c r="D296" s="981" t="s">
        <v>46</v>
      </c>
      <c r="E296" s="981">
        <v>26</v>
      </c>
      <c r="F296" s="981"/>
      <c r="G296" s="981"/>
      <c r="H296" s="981">
        <v>4</v>
      </c>
      <c r="I296" s="981">
        <v>17</v>
      </c>
      <c r="J296" s="981"/>
      <c r="K296" s="981"/>
      <c r="L296" s="981">
        <v>5</v>
      </c>
    </row>
    <row r="297" spans="1:12" x14ac:dyDescent="0.25">
      <c r="A297" s="981" t="s">
        <v>258</v>
      </c>
      <c r="B297" s="981" t="s">
        <v>251</v>
      </c>
      <c r="C297" s="981"/>
      <c r="D297" s="981" t="s">
        <v>47</v>
      </c>
      <c r="E297" s="981">
        <v>30</v>
      </c>
      <c r="F297" s="981"/>
      <c r="G297" s="981"/>
      <c r="H297" s="981">
        <v>5</v>
      </c>
      <c r="I297" s="981">
        <v>20</v>
      </c>
      <c r="J297" s="981"/>
      <c r="K297" s="981"/>
      <c r="L297" s="981">
        <v>5</v>
      </c>
    </row>
    <row r="298" spans="1:12" x14ac:dyDescent="0.25">
      <c r="A298" s="981" t="s">
        <v>258</v>
      </c>
      <c r="B298" s="981" t="s">
        <v>251</v>
      </c>
      <c r="C298" s="981"/>
      <c r="D298" s="981" t="s">
        <v>49</v>
      </c>
      <c r="E298" s="981">
        <v>76</v>
      </c>
      <c r="F298" s="981"/>
      <c r="G298" s="981"/>
      <c r="H298" s="981">
        <v>15</v>
      </c>
      <c r="I298" s="981">
        <v>45</v>
      </c>
      <c r="J298" s="981"/>
      <c r="K298" s="981"/>
      <c r="L298" s="981">
        <v>16</v>
      </c>
    </row>
    <row r="299" spans="1:12" x14ac:dyDescent="0.25">
      <c r="A299" s="981" t="s">
        <v>258</v>
      </c>
      <c r="B299" s="981" t="s">
        <v>251</v>
      </c>
      <c r="C299" s="981"/>
      <c r="D299" s="981" t="s">
        <v>52</v>
      </c>
      <c r="E299" s="981">
        <v>69</v>
      </c>
      <c r="F299" s="981"/>
      <c r="G299" s="981"/>
      <c r="H299" s="981">
        <v>10</v>
      </c>
      <c r="I299" s="981">
        <v>54</v>
      </c>
      <c r="J299" s="981"/>
      <c r="K299" s="981"/>
      <c r="L299" s="981">
        <v>5</v>
      </c>
    </row>
    <row r="300" spans="1:12" x14ac:dyDescent="0.25">
      <c r="A300" s="981" t="s">
        <v>258</v>
      </c>
      <c r="B300" s="981" t="s">
        <v>251</v>
      </c>
      <c r="C300" s="981"/>
      <c r="D300" s="981" t="s">
        <v>54</v>
      </c>
      <c r="E300" s="981">
        <v>56</v>
      </c>
      <c r="F300" s="981"/>
      <c r="G300" s="981"/>
      <c r="H300" s="981">
        <v>10</v>
      </c>
      <c r="I300" s="981">
        <v>36</v>
      </c>
      <c r="J300" s="981"/>
      <c r="K300" s="981"/>
      <c r="L300" s="981">
        <v>10</v>
      </c>
    </row>
    <row r="301" spans="1:12" x14ac:dyDescent="0.25">
      <c r="A301" s="981" t="s">
        <v>258</v>
      </c>
      <c r="B301" s="981" t="s">
        <v>251</v>
      </c>
      <c r="C301" s="981"/>
      <c r="D301" s="981" t="s">
        <v>56</v>
      </c>
      <c r="E301" s="981">
        <v>50</v>
      </c>
      <c r="F301" s="981"/>
      <c r="G301" s="981"/>
      <c r="H301" s="981">
        <v>11</v>
      </c>
      <c r="I301" s="981">
        <v>34</v>
      </c>
      <c r="J301" s="981"/>
      <c r="K301" s="981"/>
      <c r="L301" s="981">
        <v>5</v>
      </c>
    </row>
    <row r="302" spans="1:12" x14ac:dyDescent="0.25">
      <c r="A302" s="981" t="s">
        <v>258</v>
      </c>
      <c r="B302" s="981" t="s">
        <v>251</v>
      </c>
      <c r="C302" s="981"/>
      <c r="D302" s="981" t="s">
        <v>57</v>
      </c>
      <c r="E302" s="981">
        <v>167</v>
      </c>
      <c r="F302" s="981"/>
      <c r="G302" s="981"/>
      <c r="H302" s="981">
        <v>36</v>
      </c>
      <c r="I302" s="981">
        <v>111</v>
      </c>
      <c r="J302" s="981"/>
      <c r="K302" s="981"/>
      <c r="L302" s="981">
        <v>20</v>
      </c>
    </row>
    <row r="303" spans="1:12" x14ac:dyDescent="0.25">
      <c r="A303" s="981" t="s">
        <v>258</v>
      </c>
      <c r="B303" s="981" t="s">
        <v>251</v>
      </c>
      <c r="C303" s="981"/>
      <c r="D303" s="981" t="s">
        <v>58</v>
      </c>
      <c r="E303" s="981">
        <v>49</v>
      </c>
      <c r="F303" s="981"/>
      <c r="G303" s="981"/>
      <c r="H303" s="981">
        <v>10</v>
      </c>
      <c r="I303" s="981">
        <v>34</v>
      </c>
      <c r="J303" s="981"/>
      <c r="K303" s="981"/>
      <c r="L303" s="981">
        <v>5</v>
      </c>
    </row>
    <row r="304" spans="1:12" x14ac:dyDescent="0.25">
      <c r="A304" s="981" t="s">
        <v>258</v>
      </c>
      <c r="B304" s="981" t="s">
        <v>251</v>
      </c>
      <c r="C304" s="981"/>
      <c r="D304" s="981" t="s">
        <v>31</v>
      </c>
      <c r="E304" s="981">
        <v>153</v>
      </c>
      <c r="F304" s="981"/>
      <c r="G304" s="981"/>
      <c r="H304" s="981">
        <v>35</v>
      </c>
      <c r="I304" s="981">
        <v>103</v>
      </c>
      <c r="J304" s="981"/>
      <c r="K304" s="981"/>
      <c r="L304" s="981">
        <v>15</v>
      </c>
    </row>
    <row r="305" spans="1:12" x14ac:dyDescent="0.25">
      <c r="A305" s="981" t="s">
        <v>258</v>
      </c>
      <c r="B305" s="981" t="s">
        <v>251</v>
      </c>
      <c r="C305" s="981"/>
      <c r="D305" s="981" t="s">
        <v>32</v>
      </c>
      <c r="E305" s="981">
        <v>30</v>
      </c>
      <c r="F305" s="981"/>
      <c r="G305" s="981"/>
      <c r="H305" s="981">
        <v>5</v>
      </c>
      <c r="I305" s="981">
        <v>20</v>
      </c>
      <c r="J305" s="981"/>
      <c r="K305" s="981"/>
      <c r="L305" s="981">
        <v>5</v>
      </c>
    </row>
    <row r="306" spans="1:12" x14ac:dyDescent="0.25">
      <c r="A306" s="981" t="s">
        <v>258</v>
      </c>
      <c r="B306" s="981" t="s">
        <v>251</v>
      </c>
      <c r="C306" s="981"/>
      <c r="D306" s="981" t="s">
        <v>34</v>
      </c>
      <c r="E306" s="981">
        <v>54</v>
      </c>
      <c r="F306" s="981"/>
      <c r="G306" s="981"/>
      <c r="H306" s="981">
        <v>11</v>
      </c>
      <c r="I306" s="981">
        <v>33</v>
      </c>
      <c r="J306" s="981"/>
      <c r="K306" s="981"/>
      <c r="L306" s="981">
        <v>10</v>
      </c>
    </row>
    <row r="307" spans="1:12" x14ac:dyDescent="0.25">
      <c r="A307" s="981" t="s">
        <v>258</v>
      </c>
      <c r="B307" s="981" t="s">
        <v>251</v>
      </c>
      <c r="C307" s="981"/>
      <c r="D307" s="981" t="s">
        <v>262</v>
      </c>
      <c r="E307" s="981">
        <v>297</v>
      </c>
      <c r="F307" s="981"/>
      <c r="G307" s="981"/>
      <c r="H307" s="981">
        <v>59</v>
      </c>
      <c r="I307" s="981">
        <v>203</v>
      </c>
      <c r="J307" s="981"/>
      <c r="K307" s="981"/>
      <c r="L307" s="981">
        <v>35</v>
      </c>
    </row>
    <row r="308" spans="1:12" x14ac:dyDescent="0.25">
      <c r="A308" s="981" t="s">
        <v>258</v>
      </c>
      <c r="B308" s="981" t="s">
        <v>251</v>
      </c>
      <c r="C308" s="981"/>
      <c r="D308" s="981" t="s">
        <v>53</v>
      </c>
      <c r="E308" s="981">
        <v>99</v>
      </c>
      <c r="F308" s="981"/>
      <c r="G308" s="981"/>
      <c r="H308" s="981">
        <v>18</v>
      </c>
      <c r="I308" s="981">
        <v>65</v>
      </c>
      <c r="J308" s="981"/>
      <c r="K308" s="981"/>
      <c r="L308" s="981">
        <v>16</v>
      </c>
    </row>
    <row r="309" spans="1:12" x14ac:dyDescent="0.25">
      <c r="A309" s="981" t="s">
        <v>258</v>
      </c>
      <c r="B309" s="981" t="s">
        <v>251</v>
      </c>
      <c r="C309" s="981"/>
      <c r="D309" s="981" t="s">
        <v>59</v>
      </c>
      <c r="E309" s="981">
        <v>73</v>
      </c>
      <c r="F309" s="981"/>
      <c r="G309" s="981"/>
      <c r="H309" s="981">
        <v>15</v>
      </c>
      <c r="I309" s="981">
        <v>48</v>
      </c>
      <c r="J309" s="981"/>
      <c r="K309" s="981"/>
      <c r="L309" s="981">
        <v>10</v>
      </c>
    </row>
    <row r="310" spans="1:12" x14ac:dyDescent="0.25">
      <c r="A310" s="981" t="s">
        <v>258</v>
      </c>
      <c r="B310" s="981" t="s">
        <v>251</v>
      </c>
      <c r="C310" s="981"/>
      <c r="D310" s="981" t="s">
        <v>60</v>
      </c>
      <c r="E310" s="981">
        <v>56</v>
      </c>
      <c r="F310" s="981"/>
      <c r="G310" s="981"/>
      <c r="H310" s="981">
        <v>10</v>
      </c>
      <c r="I310" s="981">
        <v>36</v>
      </c>
      <c r="J310" s="981"/>
      <c r="K310" s="981"/>
      <c r="L310" s="981">
        <v>10</v>
      </c>
    </row>
    <row r="311" spans="1:12" x14ac:dyDescent="0.25">
      <c r="A311" s="981" t="s">
        <v>258</v>
      </c>
      <c r="B311" s="981" t="s">
        <v>251</v>
      </c>
      <c r="C311" s="981"/>
      <c r="D311" s="981" t="s">
        <v>33</v>
      </c>
      <c r="E311" s="981">
        <v>28</v>
      </c>
      <c r="F311" s="981"/>
      <c r="G311" s="981"/>
      <c r="H311" s="981">
        <v>5</v>
      </c>
      <c r="I311" s="981">
        <v>18</v>
      </c>
      <c r="J311" s="981"/>
      <c r="K311" s="981"/>
      <c r="L311" s="981">
        <v>5</v>
      </c>
    </row>
    <row r="312" spans="1:12" x14ac:dyDescent="0.25">
      <c r="A312" s="981" t="s">
        <v>258</v>
      </c>
      <c r="B312" s="981" t="s">
        <v>251</v>
      </c>
      <c r="C312" s="981"/>
      <c r="D312" s="981" t="s">
        <v>37</v>
      </c>
      <c r="E312" s="981">
        <v>177</v>
      </c>
      <c r="F312" s="981"/>
      <c r="G312" s="981"/>
      <c r="H312" s="981">
        <v>35</v>
      </c>
      <c r="I312" s="981">
        <v>122</v>
      </c>
      <c r="J312" s="981"/>
      <c r="K312" s="981"/>
      <c r="L312" s="981">
        <v>20</v>
      </c>
    </row>
    <row r="313" spans="1:12" x14ac:dyDescent="0.25">
      <c r="A313" s="981" t="s">
        <v>258</v>
      </c>
      <c r="B313" s="981" t="s">
        <v>251</v>
      </c>
      <c r="C313" s="981"/>
      <c r="D313" s="981" t="s">
        <v>50</v>
      </c>
      <c r="E313" s="981">
        <v>166</v>
      </c>
      <c r="F313" s="981"/>
      <c r="G313" s="981"/>
      <c r="H313" s="981">
        <v>35</v>
      </c>
      <c r="I313" s="981">
        <v>111</v>
      </c>
      <c r="J313" s="981"/>
      <c r="K313" s="981"/>
      <c r="L313" s="981">
        <v>20</v>
      </c>
    </row>
    <row r="314" spans="1:12" x14ac:dyDescent="0.25">
      <c r="A314" s="981" t="s">
        <v>258</v>
      </c>
      <c r="B314" s="981" t="s">
        <v>251</v>
      </c>
      <c r="C314" s="981"/>
      <c r="D314" s="981" t="s">
        <v>39</v>
      </c>
      <c r="E314" s="981">
        <v>78</v>
      </c>
      <c r="F314" s="981"/>
      <c r="G314" s="981"/>
      <c r="H314" s="981">
        <v>15</v>
      </c>
      <c r="I314" s="981">
        <v>47</v>
      </c>
      <c r="J314" s="981"/>
      <c r="K314" s="981"/>
      <c r="L314" s="981">
        <v>16</v>
      </c>
    </row>
    <row r="315" spans="1:12" x14ac:dyDescent="0.25">
      <c r="A315" s="981" t="s">
        <v>258</v>
      </c>
      <c r="B315" s="981" t="s">
        <v>251</v>
      </c>
      <c r="C315" s="981"/>
      <c r="D315" s="981" t="s">
        <v>124</v>
      </c>
      <c r="E315" s="981">
        <v>515</v>
      </c>
      <c r="F315" s="981"/>
      <c r="G315" s="981"/>
      <c r="H315" s="981">
        <v>110</v>
      </c>
      <c r="I315" s="981">
        <v>349</v>
      </c>
      <c r="J315" s="981"/>
      <c r="K315" s="981"/>
      <c r="L315" s="981">
        <v>56</v>
      </c>
    </row>
    <row r="316" spans="1:12" x14ac:dyDescent="0.25">
      <c r="A316" s="981" t="s">
        <v>258</v>
      </c>
      <c r="B316" s="981" t="s">
        <v>251</v>
      </c>
      <c r="C316" s="981"/>
      <c r="D316" s="981" t="s">
        <v>43</v>
      </c>
      <c r="E316" s="981">
        <v>274</v>
      </c>
      <c r="F316" s="981"/>
      <c r="G316" s="981"/>
      <c r="H316" s="981">
        <v>48</v>
      </c>
      <c r="I316" s="981">
        <v>199</v>
      </c>
      <c r="J316" s="981"/>
      <c r="K316" s="981"/>
      <c r="L316" s="981">
        <v>27</v>
      </c>
    </row>
    <row r="317" spans="1:12" x14ac:dyDescent="0.25">
      <c r="A317" s="981" t="s">
        <v>258</v>
      </c>
      <c r="B317" s="981" t="s">
        <v>252</v>
      </c>
      <c r="C317" s="981"/>
      <c r="D317" s="981" t="s">
        <v>286</v>
      </c>
      <c r="E317" s="981">
        <v>387</v>
      </c>
      <c r="F317" s="981">
        <v>16</v>
      </c>
      <c r="G317" s="981"/>
      <c r="H317" s="981">
        <v>54</v>
      </c>
      <c r="I317" s="981">
        <v>29</v>
      </c>
      <c r="J317" s="981">
        <v>49</v>
      </c>
      <c r="K317" s="981">
        <v>115</v>
      </c>
      <c r="L317" s="981">
        <v>124</v>
      </c>
    </row>
    <row r="318" spans="1:12" x14ac:dyDescent="0.25">
      <c r="A318" s="981" t="s">
        <v>258</v>
      </c>
      <c r="B318" s="981" t="s">
        <v>252</v>
      </c>
      <c r="C318" s="981"/>
      <c r="D318" s="981" t="s">
        <v>31</v>
      </c>
      <c r="E318" s="981">
        <v>17</v>
      </c>
      <c r="F318" s="981">
        <v>1</v>
      </c>
      <c r="G318" s="981"/>
      <c r="H318" s="981">
        <v>2</v>
      </c>
      <c r="I318" s="981">
        <v>2</v>
      </c>
      <c r="J318" s="981">
        <v>2</v>
      </c>
      <c r="K318" s="981">
        <v>4</v>
      </c>
      <c r="L318" s="981">
        <v>6</v>
      </c>
    </row>
    <row r="319" spans="1:12" x14ac:dyDescent="0.25">
      <c r="A319" s="981" t="s">
        <v>258</v>
      </c>
      <c r="B319" s="981" t="s">
        <v>252</v>
      </c>
      <c r="C319" s="981"/>
      <c r="D319" s="981" t="s">
        <v>64</v>
      </c>
      <c r="E319" s="981">
        <v>25</v>
      </c>
      <c r="F319" s="981">
        <v>1</v>
      </c>
      <c r="G319" s="981"/>
      <c r="H319" s="981">
        <v>6</v>
      </c>
      <c r="I319" s="981"/>
      <c r="J319" s="981">
        <v>2</v>
      </c>
      <c r="K319" s="981">
        <v>8</v>
      </c>
      <c r="L319" s="981">
        <v>8</v>
      </c>
    </row>
    <row r="320" spans="1:12" x14ac:dyDescent="0.25">
      <c r="A320" s="981" t="s">
        <v>258</v>
      </c>
      <c r="B320" s="981" t="s">
        <v>252</v>
      </c>
      <c r="C320" s="981"/>
      <c r="D320" s="981" t="s">
        <v>65</v>
      </c>
      <c r="E320" s="981">
        <v>26</v>
      </c>
      <c r="F320" s="981">
        <v>1</v>
      </c>
      <c r="G320" s="981"/>
      <c r="H320" s="981">
        <v>6</v>
      </c>
      <c r="I320" s="981">
        <v>2</v>
      </c>
      <c r="J320" s="981">
        <v>3</v>
      </c>
      <c r="K320" s="981">
        <v>8</v>
      </c>
      <c r="L320" s="981">
        <v>6</v>
      </c>
    </row>
    <row r="321" spans="1:12" x14ac:dyDescent="0.25">
      <c r="A321" s="981" t="s">
        <v>258</v>
      </c>
      <c r="B321" s="981" t="s">
        <v>252</v>
      </c>
      <c r="C321" s="981"/>
      <c r="D321" s="981" t="s">
        <v>36</v>
      </c>
      <c r="E321" s="981">
        <v>22</v>
      </c>
      <c r="F321" s="981">
        <v>1</v>
      </c>
      <c r="G321" s="981"/>
      <c r="H321" s="981">
        <v>4</v>
      </c>
      <c r="I321" s="981">
        <v>2</v>
      </c>
      <c r="J321" s="981">
        <v>2</v>
      </c>
      <c r="K321" s="981">
        <v>6</v>
      </c>
      <c r="L321" s="981">
        <v>7</v>
      </c>
    </row>
    <row r="322" spans="1:12" x14ac:dyDescent="0.25">
      <c r="A322" s="981" t="s">
        <v>258</v>
      </c>
      <c r="B322" s="981" t="s">
        <v>252</v>
      </c>
      <c r="C322" s="981"/>
      <c r="D322" s="981" t="s">
        <v>68</v>
      </c>
      <c r="E322" s="981">
        <v>25</v>
      </c>
      <c r="F322" s="981">
        <v>1</v>
      </c>
      <c r="G322" s="981"/>
      <c r="H322" s="981">
        <v>2</v>
      </c>
      <c r="I322" s="981">
        <v>2</v>
      </c>
      <c r="J322" s="981">
        <v>3</v>
      </c>
      <c r="K322" s="981">
        <v>9</v>
      </c>
      <c r="L322" s="981">
        <v>8</v>
      </c>
    </row>
    <row r="323" spans="1:12" x14ac:dyDescent="0.25">
      <c r="A323" s="981" t="s">
        <v>258</v>
      </c>
      <c r="B323" s="981" t="s">
        <v>252</v>
      </c>
      <c r="C323" s="981"/>
      <c r="D323" s="981" t="s">
        <v>69</v>
      </c>
      <c r="E323" s="981">
        <v>25</v>
      </c>
      <c r="F323" s="981">
        <v>1</v>
      </c>
      <c r="G323" s="981"/>
      <c r="H323" s="981">
        <v>2</v>
      </c>
      <c r="I323" s="981">
        <v>3</v>
      </c>
      <c r="J323" s="981">
        <v>3</v>
      </c>
      <c r="K323" s="981">
        <v>7</v>
      </c>
      <c r="L323" s="981">
        <v>9</v>
      </c>
    </row>
    <row r="324" spans="1:12" x14ac:dyDescent="0.25">
      <c r="A324" s="981" t="s">
        <v>258</v>
      </c>
      <c r="B324" s="981" t="s">
        <v>252</v>
      </c>
      <c r="C324" s="981"/>
      <c r="D324" s="981" t="s">
        <v>70</v>
      </c>
      <c r="E324" s="981">
        <v>14</v>
      </c>
      <c r="F324" s="981">
        <v>1</v>
      </c>
      <c r="G324" s="981"/>
      <c r="H324" s="981"/>
      <c r="I324" s="981">
        <v>2</v>
      </c>
      <c r="J324" s="981">
        <v>4</v>
      </c>
      <c r="K324" s="981">
        <v>4</v>
      </c>
      <c r="L324" s="981">
        <v>3</v>
      </c>
    </row>
    <row r="325" spans="1:12" x14ac:dyDescent="0.25">
      <c r="A325" s="981" t="s">
        <v>258</v>
      </c>
      <c r="B325" s="981" t="s">
        <v>252</v>
      </c>
      <c r="C325" s="981"/>
      <c r="D325" s="981" t="s">
        <v>178</v>
      </c>
      <c r="E325" s="981">
        <v>30</v>
      </c>
      <c r="F325" s="981">
        <v>1</v>
      </c>
      <c r="G325" s="981"/>
      <c r="H325" s="981">
        <v>5</v>
      </c>
      <c r="I325" s="981">
        <v>2</v>
      </c>
      <c r="J325" s="981">
        <v>5</v>
      </c>
      <c r="K325" s="981">
        <v>4</v>
      </c>
      <c r="L325" s="981">
        <v>12</v>
      </c>
    </row>
    <row r="326" spans="1:12" x14ac:dyDescent="0.25">
      <c r="A326" s="981" t="s">
        <v>258</v>
      </c>
      <c r="B326" s="981" t="s">
        <v>252</v>
      </c>
      <c r="C326" s="981"/>
      <c r="D326" s="981" t="s">
        <v>71</v>
      </c>
      <c r="E326" s="981">
        <v>20</v>
      </c>
      <c r="F326" s="981">
        <v>1</v>
      </c>
      <c r="G326" s="981"/>
      <c r="H326" s="981">
        <v>3</v>
      </c>
      <c r="I326" s="981">
        <v>2</v>
      </c>
      <c r="J326" s="981">
        <v>2</v>
      </c>
      <c r="K326" s="981">
        <v>6</v>
      </c>
      <c r="L326" s="981">
        <v>6</v>
      </c>
    </row>
    <row r="327" spans="1:12" x14ac:dyDescent="0.25">
      <c r="A327" s="981" t="s">
        <v>258</v>
      </c>
      <c r="B327" s="981" t="s">
        <v>252</v>
      </c>
      <c r="C327" s="981"/>
      <c r="D327" s="981" t="s">
        <v>124</v>
      </c>
      <c r="E327" s="981">
        <v>25</v>
      </c>
      <c r="F327" s="981">
        <v>1</v>
      </c>
      <c r="G327" s="981"/>
      <c r="H327" s="981">
        <v>2</v>
      </c>
      <c r="I327" s="981">
        <v>2</v>
      </c>
      <c r="J327" s="981">
        <v>4</v>
      </c>
      <c r="K327" s="981">
        <v>9</v>
      </c>
      <c r="L327" s="981">
        <v>7</v>
      </c>
    </row>
    <row r="328" spans="1:12" x14ac:dyDescent="0.25">
      <c r="A328" s="981" t="s">
        <v>258</v>
      </c>
      <c r="B328" s="981" t="s">
        <v>252</v>
      </c>
      <c r="C328" s="981"/>
      <c r="D328" s="981" t="s">
        <v>72</v>
      </c>
      <c r="E328" s="981">
        <v>43</v>
      </c>
      <c r="F328" s="981">
        <v>1</v>
      </c>
      <c r="G328" s="981"/>
      <c r="H328" s="981">
        <v>9</v>
      </c>
      <c r="I328" s="981">
        <v>1</v>
      </c>
      <c r="J328" s="981">
        <v>4</v>
      </c>
      <c r="K328" s="981">
        <v>14</v>
      </c>
      <c r="L328" s="981">
        <v>16</v>
      </c>
    </row>
    <row r="329" spans="1:12" x14ac:dyDescent="0.25">
      <c r="A329" s="981" t="s">
        <v>258</v>
      </c>
      <c r="B329" s="981" t="s">
        <v>252</v>
      </c>
      <c r="C329" s="981"/>
      <c r="D329" s="981" t="s">
        <v>50</v>
      </c>
      <c r="E329" s="981">
        <v>17</v>
      </c>
      <c r="F329" s="981">
        <v>1</v>
      </c>
      <c r="G329" s="981"/>
      <c r="H329" s="981">
        <v>2</v>
      </c>
      <c r="I329" s="981">
        <v>1</v>
      </c>
      <c r="J329" s="981">
        <v>2</v>
      </c>
      <c r="K329" s="981">
        <v>5</v>
      </c>
      <c r="L329" s="981">
        <v>6</v>
      </c>
    </row>
    <row r="330" spans="1:12" x14ac:dyDescent="0.25">
      <c r="A330" s="981" t="s">
        <v>258</v>
      </c>
      <c r="B330" s="981" t="s">
        <v>252</v>
      </c>
      <c r="C330" s="981"/>
      <c r="D330" s="981" t="s">
        <v>57</v>
      </c>
      <c r="E330" s="981">
        <v>16</v>
      </c>
      <c r="F330" s="981">
        <v>1</v>
      </c>
      <c r="G330" s="981"/>
      <c r="H330" s="981">
        <v>2</v>
      </c>
      <c r="I330" s="981">
        <v>1</v>
      </c>
      <c r="J330" s="981">
        <v>2</v>
      </c>
      <c r="K330" s="981">
        <v>6</v>
      </c>
      <c r="L330" s="981">
        <v>4</v>
      </c>
    </row>
    <row r="331" spans="1:12" x14ac:dyDescent="0.25">
      <c r="A331" s="981" t="s">
        <v>258</v>
      </c>
      <c r="B331" s="981" t="s">
        <v>252</v>
      </c>
      <c r="C331" s="981"/>
      <c r="D331" s="981" t="s">
        <v>73</v>
      </c>
      <c r="E331" s="981">
        <v>18</v>
      </c>
      <c r="F331" s="981">
        <v>1</v>
      </c>
      <c r="G331" s="981"/>
      <c r="H331" s="981">
        <v>3</v>
      </c>
      <c r="I331" s="981">
        <v>1</v>
      </c>
      <c r="J331" s="981">
        <v>2</v>
      </c>
      <c r="K331" s="981">
        <v>6</v>
      </c>
      <c r="L331" s="981">
        <v>5</v>
      </c>
    </row>
    <row r="332" spans="1:12" x14ac:dyDescent="0.25">
      <c r="A332" s="981" t="s">
        <v>258</v>
      </c>
      <c r="B332" s="981" t="s">
        <v>252</v>
      </c>
      <c r="C332" s="981"/>
      <c r="D332" s="981" t="s">
        <v>74</v>
      </c>
      <c r="E332" s="981">
        <v>16</v>
      </c>
      <c r="F332" s="981">
        <v>1</v>
      </c>
      <c r="G332" s="981"/>
      <c r="H332" s="981">
        <v>3</v>
      </c>
      <c r="I332" s="981"/>
      <c r="J332" s="981">
        <v>3</v>
      </c>
      <c r="K332" s="981">
        <v>5</v>
      </c>
      <c r="L332" s="981">
        <v>4</v>
      </c>
    </row>
    <row r="333" spans="1:12" x14ac:dyDescent="0.25">
      <c r="A333" s="981" t="s">
        <v>258</v>
      </c>
      <c r="B333" s="981" t="s">
        <v>252</v>
      </c>
      <c r="C333" s="981"/>
      <c r="D333" s="981" t="s">
        <v>67</v>
      </c>
      <c r="E333" s="981">
        <v>29</v>
      </c>
      <c r="F333" s="981">
        <v>1</v>
      </c>
      <c r="G333" s="981"/>
      <c r="H333" s="981">
        <v>3</v>
      </c>
      <c r="I333" s="981">
        <v>2</v>
      </c>
      <c r="J333" s="981">
        <v>4</v>
      </c>
      <c r="K333" s="981">
        <v>8</v>
      </c>
      <c r="L333" s="981">
        <v>11</v>
      </c>
    </row>
    <row r="334" spans="1:12" x14ac:dyDescent="0.25">
      <c r="A334" s="981" t="s">
        <v>258</v>
      </c>
      <c r="B334" s="981" t="s">
        <v>252</v>
      </c>
      <c r="C334" s="981"/>
      <c r="D334" s="981" t="s">
        <v>43</v>
      </c>
      <c r="E334" s="981">
        <v>18</v>
      </c>
      <c r="F334" s="981"/>
      <c r="G334" s="981"/>
      <c r="H334" s="981"/>
      <c r="I334" s="981">
        <v>4</v>
      </c>
      <c r="J334" s="981">
        <v>2</v>
      </c>
      <c r="K334" s="981">
        <v>6</v>
      </c>
      <c r="L334" s="981">
        <v>6</v>
      </c>
    </row>
    <row r="335" spans="1:12" x14ac:dyDescent="0.25">
      <c r="A335" s="981" t="s">
        <v>258</v>
      </c>
      <c r="B335" s="981" t="s">
        <v>253</v>
      </c>
      <c r="C335" s="981"/>
      <c r="D335" s="981" t="s">
        <v>286</v>
      </c>
      <c r="E335" s="981">
        <v>146</v>
      </c>
      <c r="F335" s="981">
        <v>3</v>
      </c>
      <c r="G335" s="981"/>
      <c r="H335" s="981">
        <v>41</v>
      </c>
      <c r="I335" s="981"/>
      <c r="J335" s="981">
        <v>14</v>
      </c>
      <c r="K335" s="981">
        <v>24</v>
      </c>
      <c r="L335" s="981">
        <v>64</v>
      </c>
    </row>
    <row r="336" spans="1:12" x14ac:dyDescent="0.25">
      <c r="A336" s="981" t="s">
        <v>258</v>
      </c>
      <c r="B336" s="981" t="s">
        <v>253</v>
      </c>
      <c r="C336" s="981"/>
      <c r="D336" s="981" t="s">
        <v>176</v>
      </c>
      <c r="E336" s="981">
        <v>79</v>
      </c>
      <c r="F336" s="981">
        <v>1</v>
      </c>
      <c r="G336" s="981"/>
      <c r="H336" s="981">
        <v>26</v>
      </c>
      <c r="I336" s="981"/>
      <c r="J336" s="981">
        <v>5</v>
      </c>
      <c r="K336" s="981">
        <v>12</v>
      </c>
      <c r="L336" s="981">
        <v>35</v>
      </c>
    </row>
    <row r="337" spans="1:12" x14ac:dyDescent="0.25">
      <c r="A337" s="981" t="s">
        <v>258</v>
      </c>
      <c r="B337" s="981" t="s">
        <v>253</v>
      </c>
      <c r="C337" s="981"/>
      <c r="D337" s="981" t="s">
        <v>177</v>
      </c>
      <c r="E337" s="981">
        <v>37</v>
      </c>
      <c r="F337" s="981">
        <v>1</v>
      </c>
      <c r="G337" s="981"/>
      <c r="H337" s="981">
        <v>8</v>
      </c>
      <c r="I337" s="981"/>
      <c r="J337" s="981">
        <v>5</v>
      </c>
      <c r="K337" s="981">
        <v>5</v>
      </c>
      <c r="L337" s="981">
        <v>18</v>
      </c>
    </row>
    <row r="338" spans="1:12" x14ac:dyDescent="0.25">
      <c r="A338" s="981" t="s">
        <v>258</v>
      </c>
      <c r="B338" s="981" t="s">
        <v>253</v>
      </c>
      <c r="C338" s="981"/>
      <c r="D338" s="981" t="s">
        <v>175</v>
      </c>
      <c r="E338" s="981">
        <v>30</v>
      </c>
      <c r="F338" s="981">
        <v>1</v>
      </c>
      <c r="G338" s="981"/>
      <c r="H338" s="981">
        <v>7</v>
      </c>
      <c r="I338" s="981"/>
      <c r="J338" s="981">
        <v>4</v>
      </c>
      <c r="K338" s="981">
        <v>7</v>
      </c>
      <c r="L338" s="981">
        <v>11</v>
      </c>
    </row>
    <row r="339" spans="1:12" x14ac:dyDescent="0.25">
      <c r="A339" s="981" t="s">
        <v>258</v>
      </c>
      <c r="B339" s="981" t="s">
        <v>254</v>
      </c>
      <c r="C339" s="981"/>
      <c r="D339" s="981" t="s">
        <v>263</v>
      </c>
      <c r="E339" s="981">
        <v>149</v>
      </c>
      <c r="F339" s="981">
        <v>14</v>
      </c>
      <c r="G339" s="981">
        <v>4</v>
      </c>
      <c r="H339" s="981"/>
      <c r="I339" s="981">
        <v>60</v>
      </c>
      <c r="J339" s="981">
        <v>17</v>
      </c>
      <c r="K339" s="981">
        <v>8</v>
      </c>
      <c r="L339" s="981">
        <v>46</v>
      </c>
    </row>
    <row r="340" spans="1:12" x14ac:dyDescent="0.25">
      <c r="A340" s="981" t="s">
        <v>258</v>
      </c>
      <c r="B340" s="981" t="s">
        <v>26</v>
      </c>
      <c r="C340" s="981"/>
      <c r="D340" s="981" t="s">
        <v>263</v>
      </c>
      <c r="E340" s="981">
        <v>3636</v>
      </c>
      <c r="F340" s="981">
        <v>33</v>
      </c>
      <c r="G340" s="981">
        <v>4</v>
      </c>
      <c r="H340" s="981">
        <v>687</v>
      </c>
      <c r="I340" s="981">
        <v>2074</v>
      </c>
      <c r="J340" s="981">
        <v>80</v>
      </c>
      <c r="K340" s="981">
        <v>147</v>
      </c>
      <c r="L340" s="981">
        <v>611</v>
      </c>
    </row>
  </sheetData>
  <mergeCells count="1">
    <mergeCell ref="A2:B2"/>
  </mergeCells>
  <pageMargins left="0.7" right="0.7" top="0.75" bottom="0.75" header="0.3" footer="0.3"/>
  <pageSetup paperSize="9" fitToHeight="5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H196"/>
  <sheetViews>
    <sheetView zoomScale="85" zoomScaleNormal="85" workbookViewId="0">
      <pane ySplit="4" topLeftCell="A62" activePane="bottomLeft" state="frozen"/>
      <selection activeCell="A5" sqref="A5"/>
      <selection pane="bottomLeft" activeCell="A71" sqref="A71"/>
    </sheetView>
  </sheetViews>
  <sheetFormatPr defaultRowHeight="15" x14ac:dyDescent="0.25"/>
  <sheetData>
    <row r="1" spans="1:8" ht="15.75" x14ac:dyDescent="0.25">
      <c r="A1" s="982" t="s">
        <v>925</v>
      </c>
    </row>
    <row r="2" spans="1:8" x14ac:dyDescent="0.25">
      <c r="A2" s="1047">
        <v>43700</v>
      </c>
      <c r="B2" s="1048"/>
    </row>
    <row r="4" spans="1:8" x14ac:dyDescent="0.25">
      <c r="A4" s="980" t="s">
        <v>274</v>
      </c>
      <c r="B4" s="980" t="s">
        <v>894</v>
      </c>
      <c r="C4" s="980" t="s">
        <v>261</v>
      </c>
      <c r="D4" s="980" t="s">
        <v>916</v>
      </c>
      <c r="E4" s="980" t="s">
        <v>26</v>
      </c>
      <c r="F4" s="980" t="s">
        <v>21</v>
      </c>
      <c r="G4" s="980" t="s">
        <v>22</v>
      </c>
      <c r="H4" s="980" t="s">
        <v>23</v>
      </c>
    </row>
    <row r="5" spans="1:8" x14ac:dyDescent="0.25">
      <c r="A5" s="981" t="s">
        <v>207</v>
      </c>
      <c r="B5" s="981" t="s">
        <v>251</v>
      </c>
      <c r="C5" s="981"/>
      <c r="D5" s="981" t="s">
        <v>286</v>
      </c>
      <c r="E5" s="981">
        <v>2665.13</v>
      </c>
      <c r="F5" s="981">
        <v>262.12</v>
      </c>
      <c r="G5" s="981">
        <v>489.46</v>
      </c>
      <c r="H5" s="981">
        <v>1913.55</v>
      </c>
    </row>
    <row r="6" spans="1:8" x14ac:dyDescent="0.25">
      <c r="A6" s="981" t="s">
        <v>207</v>
      </c>
      <c r="B6" s="981" t="s">
        <v>251</v>
      </c>
      <c r="C6" s="981"/>
      <c r="D6" s="981" t="s">
        <v>35</v>
      </c>
      <c r="E6" s="981">
        <v>16.71</v>
      </c>
      <c r="F6" s="981">
        <v>1.52</v>
      </c>
      <c r="G6" s="981">
        <v>3.29</v>
      </c>
      <c r="H6" s="981">
        <v>11.9</v>
      </c>
    </row>
    <row r="7" spans="1:8" x14ac:dyDescent="0.25">
      <c r="A7" s="981" t="s">
        <v>207</v>
      </c>
      <c r="B7" s="981" t="s">
        <v>251</v>
      </c>
      <c r="C7" s="981"/>
      <c r="D7" s="981" t="s">
        <v>36</v>
      </c>
      <c r="E7" s="981">
        <v>177.25</v>
      </c>
      <c r="F7" s="981">
        <v>15.25</v>
      </c>
      <c r="G7" s="981">
        <v>31.25</v>
      </c>
      <c r="H7" s="981">
        <v>130.75</v>
      </c>
    </row>
    <row r="8" spans="1:8" x14ac:dyDescent="0.25">
      <c r="A8" s="981" t="s">
        <v>207</v>
      </c>
      <c r="B8" s="981" t="s">
        <v>251</v>
      </c>
      <c r="C8" s="981"/>
      <c r="D8" s="981" t="s">
        <v>38</v>
      </c>
      <c r="E8" s="981">
        <v>66.86</v>
      </c>
      <c r="F8" s="981">
        <v>8.25</v>
      </c>
      <c r="G8" s="981">
        <v>8.5</v>
      </c>
      <c r="H8" s="981">
        <v>50.11</v>
      </c>
    </row>
    <row r="9" spans="1:8" x14ac:dyDescent="0.25">
      <c r="A9" s="981" t="s">
        <v>207</v>
      </c>
      <c r="B9" s="981" t="s">
        <v>251</v>
      </c>
      <c r="C9" s="981"/>
      <c r="D9" s="981" t="s">
        <v>40</v>
      </c>
      <c r="E9" s="981">
        <v>46.75</v>
      </c>
      <c r="F9" s="981">
        <v>5</v>
      </c>
      <c r="G9" s="981">
        <v>8.75</v>
      </c>
      <c r="H9" s="981">
        <v>33</v>
      </c>
    </row>
    <row r="10" spans="1:8" x14ac:dyDescent="0.25">
      <c r="A10" s="981" t="s">
        <v>207</v>
      </c>
      <c r="B10" s="981" t="s">
        <v>251</v>
      </c>
      <c r="C10" s="981"/>
      <c r="D10" s="981" t="s">
        <v>41</v>
      </c>
      <c r="E10" s="981"/>
      <c r="F10" s="981"/>
      <c r="G10" s="981"/>
      <c r="H10" s="981"/>
    </row>
    <row r="11" spans="1:8" x14ac:dyDescent="0.25">
      <c r="A11" s="981" t="s">
        <v>207</v>
      </c>
      <c r="B11" s="981" t="s">
        <v>251</v>
      </c>
      <c r="C11" s="981"/>
      <c r="D11" s="981" t="s">
        <v>48</v>
      </c>
      <c r="E11" s="981">
        <v>124</v>
      </c>
      <c r="F11" s="981">
        <v>12.5</v>
      </c>
      <c r="G11" s="981">
        <v>24</v>
      </c>
      <c r="H11" s="981">
        <v>87.5</v>
      </c>
    </row>
    <row r="12" spans="1:8" x14ac:dyDescent="0.25">
      <c r="A12" s="981" t="s">
        <v>207</v>
      </c>
      <c r="B12" s="981" t="s">
        <v>251</v>
      </c>
      <c r="C12" s="981"/>
      <c r="D12" s="981" t="s">
        <v>42</v>
      </c>
      <c r="E12" s="981">
        <v>49.69</v>
      </c>
      <c r="F12" s="981">
        <v>3.81</v>
      </c>
      <c r="G12" s="981">
        <v>7.6</v>
      </c>
      <c r="H12" s="981">
        <v>38.28</v>
      </c>
    </row>
    <row r="13" spans="1:8" x14ac:dyDescent="0.25">
      <c r="A13" s="981" t="s">
        <v>207</v>
      </c>
      <c r="B13" s="981" t="s">
        <v>251</v>
      </c>
      <c r="C13" s="981"/>
      <c r="D13" s="981" t="s">
        <v>44</v>
      </c>
      <c r="E13" s="981">
        <v>525.5</v>
      </c>
      <c r="F13" s="981">
        <v>52.25</v>
      </c>
      <c r="G13" s="981">
        <v>108.25</v>
      </c>
      <c r="H13" s="981">
        <v>365</v>
      </c>
    </row>
    <row r="14" spans="1:8" x14ac:dyDescent="0.25">
      <c r="A14" s="981" t="s">
        <v>207</v>
      </c>
      <c r="B14" s="981" t="s">
        <v>251</v>
      </c>
      <c r="C14" s="981"/>
      <c r="D14" s="981" t="s">
        <v>45</v>
      </c>
      <c r="E14" s="981">
        <v>35.5</v>
      </c>
      <c r="F14" s="981">
        <v>3</v>
      </c>
      <c r="G14" s="981">
        <v>3.75</v>
      </c>
      <c r="H14" s="981">
        <v>28.75</v>
      </c>
    </row>
    <row r="15" spans="1:8" x14ac:dyDescent="0.25">
      <c r="A15" s="981" t="s">
        <v>207</v>
      </c>
      <c r="B15" s="981" t="s">
        <v>251</v>
      </c>
      <c r="C15" s="981"/>
      <c r="D15" s="981" t="s">
        <v>46</v>
      </c>
      <c r="E15" s="981">
        <v>8.75</v>
      </c>
      <c r="F15" s="981">
        <v>1</v>
      </c>
      <c r="G15" s="981">
        <v>1.75</v>
      </c>
      <c r="H15" s="981">
        <v>6</v>
      </c>
    </row>
    <row r="16" spans="1:8" x14ac:dyDescent="0.25">
      <c r="A16" s="981" t="s">
        <v>207</v>
      </c>
      <c r="B16" s="981" t="s">
        <v>251</v>
      </c>
      <c r="C16" s="981"/>
      <c r="D16" s="981" t="s">
        <v>47</v>
      </c>
      <c r="E16" s="981">
        <v>95.38</v>
      </c>
      <c r="F16" s="981">
        <v>8</v>
      </c>
      <c r="G16" s="981">
        <v>19.5</v>
      </c>
      <c r="H16" s="981">
        <v>67.88</v>
      </c>
    </row>
    <row r="17" spans="1:8" x14ac:dyDescent="0.25">
      <c r="A17" s="981" t="s">
        <v>207</v>
      </c>
      <c r="B17" s="981" t="s">
        <v>251</v>
      </c>
      <c r="C17" s="981"/>
      <c r="D17" s="981" t="s">
        <v>49</v>
      </c>
      <c r="E17" s="981">
        <v>86.25</v>
      </c>
      <c r="F17" s="981">
        <v>8.5</v>
      </c>
      <c r="G17" s="981">
        <v>14</v>
      </c>
      <c r="H17" s="981">
        <v>63.75</v>
      </c>
    </row>
    <row r="18" spans="1:8" x14ac:dyDescent="0.25">
      <c r="A18" s="981" t="s">
        <v>207</v>
      </c>
      <c r="B18" s="981" t="s">
        <v>251</v>
      </c>
      <c r="C18" s="981"/>
      <c r="D18" s="981" t="s">
        <v>51</v>
      </c>
      <c r="E18" s="981">
        <v>111</v>
      </c>
      <c r="F18" s="981">
        <v>12</v>
      </c>
      <c r="G18" s="981">
        <v>21.25</v>
      </c>
      <c r="H18" s="981">
        <v>77.75</v>
      </c>
    </row>
    <row r="19" spans="1:8" x14ac:dyDescent="0.25">
      <c r="A19" s="981" t="s">
        <v>207</v>
      </c>
      <c r="B19" s="981" t="s">
        <v>251</v>
      </c>
      <c r="C19" s="981"/>
      <c r="D19" s="981" t="s">
        <v>52</v>
      </c>
      <c r="E19" s="981">
        <v>128</v>
      </c>
      <c r="F19" s="981">
        <v>9.5</v>
      </c>
      <c r="G19" s="981">
        <v>24</v>
      </c>
      <c r="H19" s="981">
        <v>94.5</v>
      </c>
    </row>
    <row r="20" spans="1:8" x14ac:dyDescent="0.25">
      <c r="A20" s="981" t="s">
        <v>207</v>
      </c>
      <c r="B20" s="981" t="s">
        <v>251</v>
      </c>
      <c r="C20" s="981"/>
      <c r="D20" s="981" t="s">
        <v>54</v>
      </c>
      <c r="E20" s="981">
        <v>119.5</v>
      </c>
      <c r="F20" s="981">
        <v>12.5</v>
      </c>
      <c r="G20" s="981">
        <v>22</v>
      </c>
      <c r="H20" s="981">
        <v>85</v>
      </c>
    </row>
    <row r="21" spans="1:8" x14ac:dyDescent="0.25">
      <c r="A21" s="981" t="s">
        <v>207</v>
      </c>
      <c r="B21" s="981" t="s">
        <v>251</v>
      </c>
      <c r="C21" s="981"/>
      <c r="D21" s="981" t="s">
        <v>55</v>
      </c>
      <c r="E21" s="981">
        <v>126</v>
      </c>
      <c r="F21" s="981">
        <v>12.25</v>
      </c>
      <c r="G21" s="981">
        <v>28.25</v>
      </c>
      <c r="H21" s="981">
        <v>85.5</v>
      </c>
    </row>
    <row r="22" spans="1:8" x14ac:dyDescent="0.25">
      <c r="A22" s="981" t="s">
        <v>207</v>
      </c>
      <c r="B22" s="981" t="s">
        <v>251</v>
      </c>
      <c r="C22" s="981"/>
      <c r="D22" s="981" t="s">
        <v>56</v>
      </c>
      <c r="E22" s="981">
        <v>49.25</v>
      </c>
      <c r="F22" s="981">
        <v>5</v>
      </c>
      <c r="G22" s="981">
        <v>8.25</v>
      </c>
      <c r="H22" s="981">
        <v>36</v>
      </c>
    </row>
    <row r="23" spans="1:8" x14ac:dyDescent="0.25">
      <c r="A23" s="981" t="s">
        <v>207</v>
      </c>
      <c r="B23" s="981" t="s">
        <v>251</v>
      </c>
      <c r="C23" s="981"/>
      <c r="D23" s="981" t="s">
        <v>57</v>
      </c>
      <c r="E23" s="981">
        <v>79.25</v>
      </c>
      <c r="F23" s="981">
        <v>8.75</v>
      </c>
      <c r="G23" s="981">
        <v>8</v>
      </c>
      <c r="H23" s="981">
        <v>62.5</v>
      </c>
    </row>
    <row r="24" spans="1:8" x14ac:dyDescent="0.25">
      <c r="A24" s="981" t="s">
        <v>207</v>
      </c>
      <c r="B24" s="981" t="s">
        <v>251</v>
      </c>
      <c r="C24" s="981"/>
      <c r="D24" s="981" t="s">
        <v>58</v>
      </c>
      <c r="E24" s="981">
        <v>58.03</v>
      </c>
      <c r="F24" s="981">
        <v>7.33</v>
      </c>
      <c r="G24" s="981">
        <v>11.9</v>
      </c>
      <c r="H24" s="981">
        <v>38.799999999999997</v>
      </c>
    </row>
    <row r="25" spans="1:8" x14ac:dyDescent="0.25">
      <c r="A25" s="981" t="s">
        <v>207</v>
      </c>
      <c r="B25" s="981" t="s">
        <v>251</v>
      </c>
      <c r="C25" s="981"/>
      <c r="D25" s="981" t="s">
        <v>31</v>
      </c>
      <c r="E25" s="981">
        <v>6.5</v>
      </c>
      <c r="F25" s="981">
        <v>1</v>
      </c>
      <c r="G25" s="981">
        <v>1.75</v>
      </c>
      <c r="H25" s="981">
        <v>3.75</v>
      </c>
    </row>
    <row r="26" spans="1:8" x14ac:dyDescent="0.25">
      <c r="A26" s="981" t="s">
        <v>207</v>
      </c>
      <c r="B26" s="981" t="s">
        <v>251</v>
      </c>
      <c r="C26" s="981"/>
      <c r="D26" s="981" t="s">
        <v>32</v>
      </c>
      <c r="E26" s="981">
        <v>269.71000000000004</v>
      </c>
      <c r="F26" s="981">
        <v>27.46</v>
      </c>
      <c r="G26" s="981">
        <v>57.67</v>
      </c>
      <c r="H26" s="981">
        <v>184.58</v>
      </c>
    </row>
    <row r="27" spans="1:8" x14ac:dyDescent="0.25">
      <c r="A27" s="981" t="s">
        <v>207</v>
      </c>
      <c r="B27" s="981" t="s">
        <v>251</v>
      </c>
      <c r="C27" s="981"/>
      <c r="D27" s="981" t="s">
        <v>34</v>
      </c>
      <c r="E27" s="981">
        <v>178.25</v>
      </c>
      <c r="F27" s="981">
        <v>16.75</v>
      </c>
      <c r="G27" s="981">
        <v>22.75</v>
      </c>
      <c r="H27" s="981">
        <v>138.75</v>
      </c>
    </row>
    <row r="28" spans="1:8" x14ac:dyDescent="0.25">
      <c r="A28" s="981" t="s">
        <v>207</v>
      </c>
      <c r="B28" s="981" t="s">
        <v>251</v>
      </c>
      <c r="C28" s="981"/>
      <c r="D28" s="981" t="s">
        <v>262</v>
      </c>
      <c r="E28" s="981">
        <v>9.75</v>
      </c>
      <c r="F28" s="981">
        <v>0.75</v>
      </c>
      <c r="G28" s="981">
        <v>1.75</v>
      </c>
      <c r="H28" s="981">
        <v>7.25</v>
      </c>
    </row>
    <row r="29" spans="1:8" x14ac:dyDescent="0.25">
      <c r="A29" s="981" t="s">
        <v>207</v>
      </c>
      <c r="B29" s="981" t="s">
        <v>251</v>
      </c>
      <c r="C29" s="981"/>
      <c r="D29" s="981" t="s">
        <v>53</v>
      </c>
      <c r="E29" s="981">
        <v>11.75</v>
      </c>
      <c r="F29" s="981">
        <v>1</v>
      </c>
      <c r="G29" s="981">
        <v>2</v>
      </c>
      <c r="H29" s="981">
        <v>8.75</v>
      </c>
    </row>
    <row r="30" spans="1:8" x14ac:dyDescent="0.25">
      <c r="A30" s="981" t="s">
        <v>207</v>
      </c>
      <c r="B30" s="981" t="s">
        <v>251</v>
      </c>
      <c r="C30" s="981"/>
      <c r="D30" s="981" t="s">
        <v>59</v>
      </c>
      <c r="E30" s="981">
        <v>15.75</v>
      </c>
      <c r="F30" s="981">
        <v>1.75</v>
      </c>
      <c r="G30" s="981">
        <v>1</v>
      </c>
      <c r="H30" s="981">
        <v>13</v>
      </c>
    </row>
    <row r="31" spans="1:8" x14ac:dyDescent="0.25">
      <c r="A31" s="981" t="s">
        <v>207</v>
      </c>
      <c r="B31" s="981" t="s">
        <v>251</v>
      </c>
      <c r="C31" s="981"/>
      <c r="D31" s="981" t="s">
        <v>60</v>
      </c>
      <c r="E31" s="981">
        <v>49.75</v>
      </c>
      <c r="F31" s="981">
        <v>5.75</v>
      </c>
      <c r="G31" s="981">
        <v>9.5</v>
      </c>
      <c r="H31" s="981">
        <v>34.5</v>
      </c>
    </row>
    <row r="32" spans="1:8" x14ac:dyDescent="0.25">
      <c r="A32" s="981" t="s">
        <v>207</v>
      </c>
      <c r="B32" s="981" t="s">
        <v>251</v>
      </c>
      <c r="C32" s="981"/>
      <c r="D32" s="981" t="s">
        <v>33</v>
      </c>
      <c r="E32" s="981">
        <v>86.75</v>
      </c>
      <c r="F32" s="981">
        <v>7</v>
      </c>
      <c r="G32" s="981">
        <v>17</v>
      </c>
      <c r="H32" s="981">
        <v>62.75</v>
      </c>
    </row>
    <row r="33" spans="1:8" x14ac:dyDescent="0.25">
      <c r="A33" s="981" t="s">
        <v>207</v>
      </c>
      <c r="B33" s="981" t="s">
        <v>251</v>
      </c>
      <c r="C33" s="981"/>
      <c r="D33" s="981" t="s">
        <v>37</v>
      </c>
      <c r="E33" s="981">
        <v>12.25</v>
      </c>
      <c r="F33" s="981">
        <v>0.75</v>
      </c>
      <c r="G33" s="981">
        <v>2.75</v>
      </c>
      <c r="H33" s="981">
        <v>8.75</v>
      </c>
    </row>
    <row r="34" spans="1:8" x14ac:dyDescent="0.25">
      <c r="A34" s="981" t="s">
        <v>207</v>
      </c>
      <c r="B34" s="981" t="s">
        <v>251</v>
      </c>
      <c r="C34" s="981"/>
      <c r="D34" s="981" t="s">
        <v>50</v>
      </c>
      <c r="E34" s="981">
        <v>27</v>
      </c>
      <c r="F34" s="981">
        <v>2.75</v>
      </c>
      <c r="G34" s="981">
        <v>3</v>
      </c>
      <c r="H34" s="981">
        <v>21.25</v>
      </c>
    </row>
    <row r="35" spans="1:8" x14ac:dyDescent="0.25">
      <c r="A35" s="981" t="s">
        <v>207</v>
      </c>
      <c r="B35" s="981" t="s">
        <v>251</v>
      </c>
      <c r="C35" s="981"/>
      <c r="D35" s="981" t="s">
        <v>39</v>
      </c>
      <c r="E35" s="981"/>
      <c r="F35" s="981"/>
      <c r="G35" s="981"/>
      <c r="H35" s="981"/>
    </row>
    <row r="36" spans="1:8" x14ac:dyDescent="0.25">
      <c r="A36" s="981" t="s">
        <v>207</v>
      </c>
      <c r="B36" s="981" t="s">
        <v>251</v>
      </c>
      <c r="C36" s="981"/>
      <c r="D36" s="981" t="s">
        <v>124</v>
      </c>
      <c r="E36" s="981">
        <v>2</v>
      </c>
      <c r="F36" s="981"/>
      <c r="G36" s="981">
        <v>1</v>
      </c>
      <c r="H36" s="981">
        <v>1</v>
      </c>
    </row>
    <row r="37" spans="1:8" x14ac:dyDescent="0.25">
      <c r="A37" s="981" t="s">
        <v>207</v>
      </c>
      <c r="B37" s="981" t="s">
        <v>251</v>
      </c>
      <c r="C37" s="981"/>
      <c r="D37" s="981" t="s">
        <v>43</v>
      </c>
      <c r="E37" s="981">
        <v>92</v>
      </c>
      <c r="F37" s="981">
        <v>10.75</v>
      </c>
      <c r="G37" s="981">
        <v>15</v>
      </c>
      <c r="H37" s="981">
        <v>66.25</v>
      </c>
    </row>
    <row r="38" spans="1:8" x14ac:dyDescent="0.25">
      <c r="A38" s="981" t="s">
        <v>206</v>
      </c>
      <c r="B38" s="981" t="s">
        <v>251</v>
      </c>
      <c r="C38" s="981"/>
      <c r="D38" s="981" t="s">
        <v>286</v>
      </c>
      <c r="E38" s="981">
        <v>2668.5</v>
      </c>
      <c r="F38" s="981">
        <v>263.75</v>
      </c>
      <c r="G38" s="981">
        <v>498</v>
      </c>
      <c r="H38" s="981">
        <v>1906.75</v>
      </c>
    </row>
    <row r="39" spans="1:8" x14ac:dyDescent="0.25">
      <c r="A39" s="981" t="s">
        <v>206</v>
      </c>
      <c r="B39" s="981" t="s">
        <v>251</v>
      </c>
      <c r="C39" s="981"/>
      <c r="D39" s="981" t="s">
        <v>35</v>
      </c>
      <c r="E39" s="981">
        <v>18.25</v>
      </c>
      <c r="F39" s="981">
        <v>1.5</v>
      </c>
      <c r="G39" s="981">
        <v>4</v>
      </c>
      <c r="H39" s="981">
        <v>12.75</v>
      </c>
    </row>
    <row r="40" spans="1:8" x14ac:dyDescent="0.25">
      <c r="A40" s="981" t="s">
        <v>206</v>
      </c>
      <c r="B40" s="981" t="s">
        <v>251</v>
      </c>
      <c r="C40" s="981"/>
      <c r="D40" s="981" t="s">
        <v>36</v>
      </c>
      <c r="E40" s="981">
        <v>185</v>
      </c>
      <c r="F40" s="981">
        <v>15.25</v>
      </c>
      <c r="G40" s="981">
        <v>32.75</v>
      </c>
      <c r="H40" s="981">
        <v>137</v>
      </c>
    </row>
    <row r="41" spans="1:8" x14ac:dyDescent="0.25">
      <c r="A41" s="981" t="s">
        <v>206</v>
      </c>
      <c r="B41" s="981" t="s">
        <v>251</v>
      </c>
      <c r="C41" s="981"/>
      <c r="D41" s="981" t="s">
        <v>38</v>
      </c>
      <c r="E41" s="981">
        <v>71.25</v>
      </c>
      <c r="F41" s="981">
        <v>7.5</v>
      </c>
      <c r="G41" s="981">
        <v>7.25</v>
      </c>
      <c r="H41" s="981">
        <v>56.5</v>
      </c>
    </row>
    <row r="42" spans="1:8" x14ac:dyDescent="0.25">
      <c r="A42" s="981" t="s">
        <v>206</v>
      </c>
      <c r="B42" s="981" t="s">
        <v>251</v>
      </c>
      <c r="C42" s="981"/>
      <c r="D42" s="981" t="s">
        <v>40</v>
      </c>
      <c r="E42" s="981">
        <v>52.75</v>
      </c>
      <c r="F42" s="981">
        <v>5</v>
      </c>
      <c r="G42" s="981">
        <v>11.5</v>
      </c>
      <c r="H42" s="981">
        <v>36.25</v>
      </c>
    </row>
    <row r="43" spans="1:8" x14ac:dyDescent="0.25">
      <c r="A43" s="981" t="s">
        <v>206</v>
      </c>
      <c r="B43" s="981" t="s">
        <v>251</v>
      </c>
      <c r="C43" s="981"/>
      <c r="D43" s="981" t="s">
        <v>41</v>
      </c>
      <c r="E43" s="981">
        <v>0</v>
      </c>
      <c r="F43" s="981">
        <v>0</v>
      </c>
      <c r="G43" s="981">
        <v>0</v>
      </c>
      <c r="H43" s="981">
        <v>0</v>
      </c>
    </row>
    <row r="44" spans="1:8" x14ac:dyDescent="0.25">
      <c r="A44" s="981" t="s">
        <v>206</v>
      </c>
      <c r="B44" s="981" t="s">
        <v>251</v>
      </c>
      <c r="C44" s="981"/>
      <c r="D44" s="981" t="s">
        <v>48</v>
      </c>
      <c r="E44" s="981">
        <v>140.25</v>
      </c>
      <c r="F44" s="981">
        <v>15.5</v>
      </c>
      <c r="G44" s="981">
        <v>26.5</v>
      </c>
      <c r="H44" s="981">
        <v>98.25</v>
      </c>
    </row>
    <row r="45" spans="1:8" x14ac:dyDescent="0.25">
      <c r="A45" s="981" t="s">
        <v>206</v>
      </c>
      <c r="B45" s="981" t="s">
        <v>251</v>
      </c>
      <c r="C45" s="981"/>
      <c r="D45" s="981" t="s">
        <v>42</v>
      </c>
      <c r="E45" s="981">
        <v>51.75</v>
      </c>
      <c r="F45" s="981">
        <v>4.5</v>
      </c>
      <c r="G45" s="981">
        <v>6.75</v>
      </c>
      <c r="H45" s="981">
        <v>40.5</v>
      </c>
    </row>
    <row r="46" spans="1:8" x14ac:dyDescent="0.25">
      <c r="A46" s="981" t="s">
        <v>206</v>
      </c>
      <c r="B46" s="981" t="s">
        <v>251</v>
      </c>
      <c r="C46" s="981"/>
      <c r="D46" s="981" t="s">
        <v>44</v>
      </c>
      <c r="E46" s="981">
        <v>512.75</v>
      </c>
      <c r="F46" s="981">
        <v>52.25</v>
      </c>
      <c r="G46" s="981">
        <v>100.25</v>
      </c>
      <c r="H46" s="981">
        <v>360.25</v>
      </c>
    </row>
    <row r="47" spans="1:8" x14ac:dyDescent="0.25">
      <c r="A47" s="981" t="s">
        <v>206</v>
      </c>
      <c r="B47" s="981" t="s">
        <v>251</v>
      </c>
      <c r="C47" s="981"/>
      <c r="D47" s="981" t="s">
        <v>45</v>
      </c>
      <c r="E47" s="981">
        <v>33.5</v>
      </c>
      <c r="F47" s="981">
        <v>3</v>
      </c>
      <c r="G47" s="981">
        <v>3.75</v>
      </c>
      <c r="H47" s="981">
        <v>26.75</v>
      </c>
    </row>
    <row r="48" spans="1:8" x14ac:dyDescent="0.25">
      <c r="A48" s="981" t="s">
        <v>206</v>
      </c>
      <c r="B48" s="981" t="s">
        <v>251</v>
      </c>
      <c r="C48" s="981"/>
      <c r="D48" s="981" t="s">
        <v>46</v>
      </c>
      <c r="E48" s="981">
        <v>11.75</v>
      </c>
      <c r="F48" s="981">
        <v>1</v>
      </c>
      <c r="G48" s="981">
        <v>1.75</v>
      </c>
      <c r="H48" s="981">
        <v>9</v>
      </c>
    </row>
    <row r="49" spans="1:8" x14ac:dyDescent="0.25">
      <c r="A49" s="981" t="s">
        <v>206</v>
      </c>
      <c r="B49" s="981" t="s">
        <v>251</v>
      </c>
      <c r="C49" s="981"/>
      <c r="D49" s="981" t="s">
        <v>47</v>
      </c>
      <c r="E49" s="981">
        <v>111.75</v>
      </c>
      <c r="F49" s="981">
        <v>10</v>
      </c>
      <c r="G49" s="981">
        <v>23</v>
      </c>
      <c r="H49" s="981">
        <v>78.75</v>
      </c>
    </row>
    <row r="50" spans="1:8" x14ac:dyDescent="0.25">
      <c r="A50" s="981" t="s">
        <v>206</v>
      </c>
      <c r="B50" s="981" t="s">
        <v>251</v>
      </c>
      <c r="C50" s="981"/>
      <c r="D50" s="981" t="s">
        <v>49</v>
      </c>
      <c r="E50" s="981">
        <v>82.5</v>
      </c>
      <c r="F50" s="981">
        <v>8.5</v>
      </c>
      <c r="G50" s="981">
        <v>15.5</v>
      </c>
      <c r="H50" s="981">
        <v>58.5</v>
      </c>
    </row>
    <row r="51" spans="1:8" x14ac:dyDescent="0.25">
      <c r="A51" s="981" t="s">
        <v>206</v>
      </c>
      <c r="B51" s="981" t="s">
        <v>251</v>
      </c>
      <c r="C51" s="981"/>
      <c r="D51" s="981" t="s">
        <v>51</v>
      </c>
      <c r="E51" s="981">
        <v>107.25</v>
      </c>
      <c r="F51" s="981">
        <v>12</v>
      </c>
      <c r="G51" s="981">
        <v>25</v>
      </c>
      <c r="H51" s="981">
        <v>70.25</v>
      </c>
    </row>
    <row r="52" spans="1:8" x14ac:dyDescent="0.25">
      <c r="A52" s="981" t="s">
        <v>206</v>
      </c>
      <c r="B52" s="981" t="s">
        <v>251</v>
      </c>
      <c r="C52" s="981"/>
      <c r="D52" s="981" t="s">
        <v>52</v>
      </c>
      <c r="E52" s="981">
        <v>116.75</v>
      </c>
      <c r="F52" s="981">
        <v>12.75</v>
      </c>
      <c r="G52" s="981">
        <v>24.25</v>
      </c>
      <c r="H52" s="981">
        <v>79.75</v>
      </c>
    </row>
    <row r="53" spans="1:8" x14ac:dyDescent="0.25">
      <c r="A53" s="981" t="s">
        <v>206</v>
      </c>
      <c r="B53" s="981" t="s">
        <v>251</v>
      </c>
      <c r="C53" s="981"/>
      <c r="D53" s="981" t="s">
        <v>54</v>
      </c>
      <c r="E53" s="981">
        <v>132.25</v>
      </c>
      <c r="F53" s="981">
        <v>13.25</v>
      </c>
      <c r="G53" s="981">
        <v>22.75</v>
      </c>
      <c r="H53" s="981">
        <v>96.25</v>
      </c>
    </row>
    <row r="54" spans="1:8" x14ac:dyDescent="0.25">
      <c r="A54" s="981" t="s">
        <v>206</v>
      </c>
      <c r="B54" s="981" t="s">
        <v>251</v>
      </c>
      <c r="C54" s="981"/>
      <c r="D54" s="981" t="s">
        <v>55</v>
      </c>
      <c r="E54" s="981">
        <v>119</v>
      </c>
      <c r="F54" s="981">
        <v>11.25</v>
      </c>
      <c r="G54" s="981">
        <v>28</v>
      </c>
      <c r="H54" s="981">
        <v>79.75</v>
      </c>
    </row>
    <row r="55" spans="1:8" x14ac:dyDescent="0.25">
      <c r="A55" s="981" t="s">
        <v>206</v>
      </c>
      <c r="B55" s="981" t="s">
        <v>251</v>
      </c>
      <c r="C55" s="981"/>
      <c r="D55" s="981" t="s">
        <v>56</v>
      </c>
      <c r="E55" s="981">
        <v>49</v>
      </c>
      <c r="F55" s="981">
        <v>5</v>
      </c>
      <c r="G55" s="981">
        <v>8.25</v>
      </c>
      <c r="H55" s="981">
        <v>35.75</v>
      </c>
    </row>
    <row r="56" spans="1:8" x14ac:dyDescent="0.25">
      <c r="A56" s="981" t="s">
        <v>206</v>
      </c>
      <c r="B56" s="981" t="s">
        <v>251</v>
      </c>
      <c r="C56" s="981"/>
      <c r="D56" s="981" t="s">
        <v>57</v>
      </c>
      <c r="E56" s="981">
        <v>76.75</v>
      </c>
      <c r="F56" s="981">
        <v>8.75</v>
      </c>
      <c r="G56" s="981">
        <v>8</v>
      </c>
      <c r="H56" s="981">
        <v>60</v>
      </c>
    </row>
    <row r="57" spans="1:8" x14ac:dyDescent="0.25">
      <c r="A57" s="981" t="s">
        <v>206</v>
      </c>
      <c r="B57" s="981" t="s">
        <v>251</v>
      </c>
      <c r="C57" s="981"/>
      <c r="D57" s="981" t="s">
        <v>58</v>
      </c>
      <c r="E57" s="981">
        <v>58.5</v>
      </c>
      <c r="F57" s="981">
        <v>7.25</v>
      </c>
      <c r="G57" s="981">
        <v>11</v>
      </c>
      <c r="H57" s="981">
        <v>40.25</v>
      </c>
    </row>
    <row r="58" spans="1:8" x14ac:dyDescent="0.25">
      <c r="A58" s="981" t="s">
        <v>206</v>
      </c>
      <c r="B58" s="981" t="s">
        <v>251</v>
      </c>
      <c r="C58" s="981"/>
      <c r="D58" s="981" t="s">
        <v>31</v>
      </c>
      <c r="E58" s="981">
        <v>6.5</v>
      </c>
      <c r="F58" s="981">
        <v>1</v>
      </c>
      <c r="G58" s="981">
        <v>1.75</v>
      </c>
      <c r="H58" s="981">
        <v>3.75</v>
      </c>
    </row>
    <row r="59" spans="1:8" x14ac:dyDescent="0.25">
      <c r="A59" s="981" t="s">
        <v>206</v>
      </c>
      <c r="B59" s="981" t="s">
        <v>251</v>
      </c>
      <c r="C59" s="981"/>
      <c r="D59" s="981" t="s">
        <v>32</v>
      </c>
      <c r="E59" s="981">
        <v>253.25</v>
      </c>
      <c r="F59" s="981">
        <v>25.25</v>
      </c>
      <c r="G59" s="981">
        <v>56</v>
      </c>
      <c r="H59" s="981">
        <v>172</v>
      </c>
    </row>
    <row r="60" spans="1:8" x14ac:dyDescent="0.25">
      <c r="A60" s="981" t="s">
        <v>206</v>
      </c>
      <c r="B60" s="981" t="s">
        <v>251</v>
      </c>
      <c r="C60" s="981"/>
      <c r="D60" s="981" t="s">
        <v>34</v>
      </c>
      <c r="E60" s="981">
        <v>166.5</v>
      </c>
      <c r="F60" s="981">
        <v>14.75</v>
      </c>
      <c r="G60" s="981">
        <v>22.75</v>
      </c>
      <c r="H60" s="981">
        <v>129</v>
      </c>
    </row>
    <row r="61" spans="1:8" x14ac:dyDescent="0.25">
      <c r="A61" s="981" t="s">
        <v>206</v>
      </c>
      <c r="B61" s="981" t="s">
        <v>251</v>
      </c>
      <c r="C61" s="981"/>
      <c r="D61" s="981" t="s">
        <v>262</v>
      </c>
      <c r="E61" s="981">
        <v>10.5</v>
      </c>
      <c r="F61" s="981">
        <v>0.75</v>
      </c>
      <c r="G61" s="981">
        <v>1.75</v>
      </c>
      <c r="H61" s="981">
        <v>8</v>
      </c>
    </row>
    <row r="62" spans="1:8" x14ac:dyDescent="0.25">
      <c r="A62" s="981" t="s">
        <v>206</v>
      </c>
      <c r="B62" s="981" t="s">
        <v>251</v>
      </c>
      <c r="C62" s="981"/>
      <c r="D62" s="981" t="s">
        <v>53</v>
      </c>
      <c r="E62" s="981">
        <v>11.75</v>
      </c>
      <c r="F62" s="981">
        <v>1</v>
      </c>
      <c r="G62" s="981">
        <v>2</v>
      </c>
      <c r="H62" s="981">
        <v>8.75</v>
      </c>
    </row>
    <row r="63" spans="1:8" x14ac:dyDescent="0.25">
      <c r="A63" s="981" t="s">
        <v>206</v>
      </c>
      <c r="B63" s="981" t="s">
        <v>251</v>
      </c>
      <c r="C63" s="981"/>
      <c r="D63" s="981" t="s">
        <v>59</v>
      </c>
      <c r="E63" s="981">
        <v>18.5</v>
      </c>
      <c r="F63" s="981">
        <v>1.75</v>
      </c>
      <c r="G63" s="981">
        <v>1</v>
      </c>
      <c r="H63" s="981">
        <v>15.75</v>
      </c>
    </row>
    <row r="64" spans="1:8" x14ac:dyDescent="0.25">
      <c r="A64" s="981" t="s">
        <v>206</v>
      </c>
      <c r="B64" s="981" t="s">
        <v>251</v>
      </c>
      <c r="C64" s="981"/>
      <c r="D64" s="981" t="s">
        <v>60</v>
      </c>
      <c r="E64" s="981">
        <v>53</v>
      </c>
      <c r="F64" s="981">
        <v>5</v>
      </c>
      <c r="G64" s="981">
        <v>10</v>
      </c>
      <c r="H64" s="981">
        <v>38</v>
      </c>
    </row>
    <row r="65" spans="1:8" x14ac:dyDescent="0.25">
      <c r="A65" s="981" t="s">
        <v>206</v>
      </c>
      <c r="B65" s="981" t="s">
        <v>251</v>
      </c>
      <c r="C65" s="981"/>
      <c r="D65" s="981" t="s">
        <v>33</v>
      </c>
      <c r="E65" s="981">
        <v>83.5</v>
      </c>
      <c r="F65" s="981">
        <v>7</v>
      </c>
      <c r="G65" s="981">
        <v>18</v>
      </c>
      <c r="H65" s="981">
        <v>58.5</v>
      </c>
    </row>
    <row r="66" spans="1:8" x14ac:dyDescent="0.25">
      <c r="A66" s="981" t="s">
        <v>206</v>
      </c>
      <c r="B66" s="981" t="s">
        <v>251</v>
      </c>
      <c r="C66" s="981"/>
      <c r="D66" s="981" t="s">
        <v>37</v>
      </c>
      <c r="E66" s="981">
        <v>11.75</v>
      </c>
      <c r="F66" s="981">
        <v>0.75</v>
      </c>
      <c r="G66" s="981">
        <v>2.75</v>
      </c>
      <c r="H66" s="981">
        <v>8.25</v>
      </c>
    </row>
    <row r="67" spans="1:8" x14ac:dyDescent="0.25">
      <c r="A67" s="981" t="s">
        <v>206</v>
      </c>
      <c r="B67" s="981" t="s">
        <v>251</v>
      </c>
      <c r="C67" s="981"/>
      <c r="D67" s="981" t="s">
        <v>50</v>
      </c>
      <c r="E67" s="981">
        <v>28.25</v>
      </c>
      <c r="F67" s="981">
        <v>2.5</v>
      </c>
      <c r="G67" s="981">
        <v>3</v>
      </c>
      <c r="H67" s="981">
        <v>22.75</v>
      </c>
    </row>
    <row r="68" spans="1:8" x14ac:dyDescent="0.25">
      <c r="A68" s="981" t="s">
        <v>206</v>
      </c>
      <c r="B68" s="981" t="s">
        <v>251</v>
      </c>
      <c r="C68" s="981"/>
      <c r="D68" s="981" t="s">
        <v>39</v>
      </c>
      <c r="E68" s="981">
        <v>0</v>
      </c>
      <c r="F68" s="981">
        <v>0</v>
      </c>
      <c r="G68" s="981">
        <v>0</v>
      </c>
      <c r="H68" s="981">
        <v>0</v>
      </c>
    </row>
    <row r="69" spans="1:8" x14ac:dyDescent="0.25">
      <c r="A69" s="981" t="s">
        <v>206</v>
      </c>
      <c r="B69" s="981" t="s">
        <v>251</v>
      </c>
      <c r="C69" s="981"/>
      <c r="D69" s="981" t="s">
        <v>124</v>
      </c>
      <c r="E69" s="981">
        <v>0</v>
      </c>
      <c r="F69" s="981">
        <v>0</v>
      </c>
      <c r="G69" s="981">
        <v>0</v>
      </c>
      <c r="H69" s="981">
        <v>0</v>
      </c>
    </row>
    <row r="70" spans="1:8" x14ac:dyDescent="0.25">
      <c r="A70" s="981" t="s">
        <v>206</v>
      </c>
      <c r="B70" s="981" t="s">
        <v>251</v>
      </c>
      <c r="C70" s="981"/>
      <c r="D70" s="981" t="s">
        <v>43</v>
      </c>
      <c r="E70" s="981">
        <v>94</v>
      </c>
      <c r="F70" s="981">
        <v>9.75</v>
      </c>
      <c r="G70" s="981">
        <v>18.75</v>
      </c>
      <c r="H70" s="981">
        <v>65.5</v>
      </c>
    </row>
    <row r="71" spans="1:8" x14ac:dyDescent="0.25">
      <c r="A71" s="981" t="s">
        <v>205</v>
      </c>
      <c r="B71" s="981" t="s">
        <v>251</v>
      </c>
      <c r="C71" s="981"/>
      <c r="D71" s="981" t="s">
        <v>286</v>
      </c>
      <c r="E71" s="981">
        <v>2527</v>
      </c>
      <c r="F71" s="981">
        <v>248</v>
      </c>
      <c r="G71" s="981">
        <v>486</v>
      </c>
      <c r="H71" s="981">
        <v>1793</v>
      </c>
    </row>
    <row r="72" spans="1:8" x14ac:dyDescent="0.25">
      <c r="A72" s="981" t="s">
        <v>205</v>
      </c>
      <c r="B72" s="981" t="s">
        <v>251</v>
      </c>
      <c r="C72" s="981"/>
      <c r="D72" s="981" t="s">
        <v>35</v>
      </c>
      <c r="E72" s="981">
        <v>16.25</v>
      </c>
      <c r="F72" s="981">
        <v>2</v>
      </c>
      <c r="G72" s="981">
        <v>3</v>
      </c>
      <c r="H72" s="981">
        <v>11.25</v>
      </c>
    </row>
    <row r="73" spans="1:8" x14ac:dyDescent="0.25">
      <c r="A73" s="981" t="s">
        <v>205</v>
      </c>
      <c r="B73" s="981" t="s">
        <v>251</v>
      </c>
      <c r="C73" s="981"/>
      <c r="D73" s="981" t="s">
        <v>36</v>
      </c>
      <c r="E73" s="981">
        <v>169</v>
      </c>
      <c r="F73" s="981">
        <v>14.5</v>
      </c>
      <c r="G73" s="981">
        <v>30.75</v>
      </c>
      <c r="H73" s="981">
        <v>123.75</v>
      </c>
    </row>
    <row r="74" spans="1:8" x14ac:dyDescent="0.25">
      <c r="A74" s="981" t="s">
        <v>205</v>
      </c>
      <c r="B74" s="981" t="s">
        <v>251</v>
      </c>
      <c r="C74" s="981"/>
      <c r="D74" s="981" t="s">
        <v>38</v>
      </c>
      <c r="E74" s="981">
        <v>71</v>
      </c>
      <c r="F74" s="981">
        <v>6.25</v>
      </c>
      <c r="G74" s="981">
        <v>8.75</v>
      </c>
      <c r="H74" s="981">
        <v>56</v>
      </c>
    </row>
    <row r="75" spans="1:8" x14ac:dyDescent="0.25">
      <c r="A75" s="981" t="s">
        <v>205</v>
      </c>
      <c r="B75" s="981" t="s">
        <v>251</v>
      </c>
      <c r="C75" s="981"/>
      <c r="D75" s="981" t="s">
        <v>40</v>
      </c>
      <c r="E75" s="981">
        <v>45.25</v>
      </c>
      <c r="F75" s="981">
        <v>4</v>
      </c>
      <c r="G75" s="981">
        <v>9.75</v>
      </c>
      <c r="H75" s="981">
        <v>31.5</v>
      </c>
    </row>
    <row r="76" spans="1:8" x14ac:dyDescent="0.25">
      <c r="A76" s="981" t="s">
        <v>205</v>
      </c>
      <c r="B76" s="981" t="s">
        <v>251</v>
      </c>
      <c r="C76" s="981"/>
      <c r="D76" s="981" t="s">
        <v>41</v>
      </c>
      <c r="E76" s="981">
        <v>1</v>
      </c>
      <c r="F76" s="981">
        <v>0</v>
      </c>
      <c r="G76" s="981">
        <v>0</v>
      </c>
      <c r="H76" s="981">
        <v>1</v>
      </c>
    </row>
    <row r="77" spans="1:8" x14ac:dyDescent="0.25">
      <c r="A77" s="981" t="s">
        <v>205</v>
      </c>
      <c r="B77" s="981" t="s">
        <v>251</v>
      </c>
      <c r="C77" s="981"/>
      <c r="D77" s="981" t="s">
        <v>48</v>
      </c>
      <c r="E77" s="981">
        <v>134.25</v>
      </c>
      <c r="F77" s="981">
        <v>11.75</v>
      </c>
      <c r="G77" s="981">
        <v>33</v>
      </c>
      <c r="H77" s="981">
        <v>89.5</v>
      </c>
    </row>
    <row r="78" spans="1:8" x14ac:dyDescent="0.25">
      <c r="A78" s="981" t="s">
        <v>205</v>
      </c>
      <c r="B78" s="981" t="s">
        <v>251</v>
      </c>
      <c r="C78" s="981"/>
      <c r="D78" s="981" t="s">
        <v>42</v>
      </c>
      <c r="E78" s="981">
        <v>39.75</v>
      </c>
      <c r="F78" s="981">
        <v>3.75</v>
      </c>
      <c r="G78" s="981">
        <v>7</v>
      </c>
      <c r="H78" s="981">
        <v>29</v>
      </c>
    </row>
    <row r="79" spans="1:8" x14ac:dyDescent="0.25">
      <c r="A79" s="981" t="s">
        <v>205</v>
      </c>
      <c r="B79" s="981" t="s">
        <v>251</v>
      </c>
      <c r="C79" s="981"/>
      <c r="D79" s="981" t="s">
        <v>44</v>
      </c>
      <c r="E79" s="981">
        <v>489.75</v>
      </c>
      <c r="F79" s="981">
        <v>51</v>
      </c>
      <c r="G79" s="981">
        <v>102.5</v>
      </c>
      <c r="H79" s="981">
        <v>336.25</v>
      </c>
    </row>
    <row r="80" spans="1:8" x14ac:dyDescent="0.25">
      <c r="A80" s="981" t="s">
        <v>205</v>
      </c>
      <c r="B80" s="981" t="s">
        <v>251</v>
      </c>
      <c r="C80" s="981"/>
      <c r="D80" s="981" t="s">
        <v>45</v>
      </c>
      <c r="E80" s="981">
        <v>33.75</v>
      </c>
      <c r="F80" s="981">
        <v>3.5</v>
      </c>
      <c r="G80" s="981">
        <v>5.5</v>
      </c>
      <c r="H80" s="981">
        <v>24.75</v>
      </c>
    </row>
    <row r="81" spans="1:8" x14ac:dyDescent="0.25">
      <c r="A81" s="981" t="s">
        <v>205</v>
      </c>
      <c r="B81" s="981" t="s">
        <v>251</v>
      </c>
      <c r="C81" s="981"/>
      <c r="D81" s="981" t="s">
        <v>46</v>
      </c>
      <c r="E81" s="981">
        <v>9.25</v>
      </c>
      <c r="F81" s="981">
        <v>1</v>
      </c>
      <c r="G81" s="981">
        <v>1.75</v>
      </c>
      <c r="H81" s="981">
        <v>6.5</v>
      </c>
    </row>
    <row r="82" spans="1:8" x14ac:dyDescent="0.25">
      <c r="A82" s="981" t="s">
        <v>205</v>
      </c>
      <c r="B82" s="981" t="s">
        <v>251</v>
      </c>
      <c r="C82" s="981"/>
      <c r="D82" s="981" t="s">
        <v>47</v>
      </c>
      <c r="E82" s="981">
        <v>97.25</v>
      </c>
      <c r="F82" s="981">
        <v>11</v>
      </c>
      <c r="G82" s="981">
        <v>21</v>
      </c>
      <c r="H82" s="981">
        <v>65.25</v>
      </c>
    </row>
    <row r="83" spans="1:8" x14ac:dyDescent="0.25">
      <c r="A83" s="981" t="s">
        <v>205</v>
      </c>
      <c r="B83" s="981" t="s">
        <v>251</v>
      </c>
      <c r="C83" s="981"/>
      <c r="D83" s="981" t="s">
        <v>49</v>
      </c>
      <c r="E83" s="981">
        <v>91.5</v>
      </c>
      <c r="F83" s="981">
        <v>9</v>
      </c>
      <c r="G83" s="981">
        <v>10</v>
      </c>
      <c r="H83" s="981">
        <v>72.5</v>
      </c>
    </row>
    <row r="84" spans="1:8" x14ac:dyDescent="0.25">
      <c r="A84" s="981" t="s">
        <v>205</v>
      </c>
      <c r="B84" s="981" t="s">
        <v>251</v>
      </c>
      <c r="C84" s="981"/>
      <c r="D84" s="981" t="s">
        <v>51</v>
      </c>
      <c r="E84" s="981">
        <v>96.5</v>
      </c>
      <c r="F84" s="981">
        <v>12</v>
      </c>
      <c r="G84" s="981">
        <v>18.75</v>
      </c>
      <c r="H84" s="981">
        <v>65.75</v>
      </c>
    </row>
    <row r="85" spans="1:8" x14ac:dyDescent="0.25">
      <c r="A85" s="981" t="s">
        <v>205</v>
      </c>
      <c r="B85" s="981" t="s">
        <v>251</v>
      </c>
      <c r="C85" s="981"/>
      <c r="D85" s="981" t="s">
        <v>52</v>
      </c>
      <c r="E85" s="981">
        <v>110.5</v>
      </c>
      <c r="F85" s="981">
        <v>8.75</v>
      </c>
      <c r="G85" s="981">
        <v>22.5</v>
      </c>
      <c r="H85" s="981">
        <v>79.25</v>
      </c>
    </row>
    <row r="86" spans="1:8" x14ac:dyDescent="0.25">
      <c r="A86" s="981" t="s">
        <v>205</v>
      </c>
      <c r="B86" s="981" t="s">
        <v>251</v>
      </c>
      <c r="C86" s="981"/>
      <c r="D86" s="981" t="s">
        <v>54</v>
      </c>
      <c r="E86" s="981">
        <v>123.25</v>
      </c>
      <c r="F86" s="981">
        <v>11.5</v>
      </c>
      <c r="G86" s="981">
        <v>22.5</v>
      </c>
      <c r="H86" s="981">
        <v>89.25</v>
      </c>
    </row>
    <row r="87" spans="1:8" x14ac:dyDescent="0.25">
      <c r="A87" s="981" t="s">
        <v>205</v>
      </c>
      <c r="B87" s="981" t="s">
        <v>251</v>
      </c>
      <c r="C87" s="981"/>
      <c r="D87" s="981" t="s">
        <v>55</v>
      </c>
      <c r="E87" s="981">
        <v>116.75</v>
      </c>
      <c r="F87" s="981">
        <v>13.25</v>
      </c>
      <c r="G87" s="981">
        <v>23.25</v>
      </c>
      <c r="H87" s="981">
        <v>80.25</v>
      </c>
    </row>
    <row r="88" spans="1:8" x14ac:dyDescent="0.25">
      <c r="A88" s="981" t="s">
        <v>205</v>
      </c>
      <c r="B88" s="981" t="s">
        <v>251</v>
      </c>
      <c r="C88" s="981"/>
      <c r="D88" s="981" t="s">
        <v>56</v>
      </c>
      <c r="E88" s="981">
        <v>46</v>
      </c>
      <c r="F88" s="981">
        <v>4.75</v>
      </c>
      <c r="G88" s="981">
        <v>5.75</v>
      </c>
      <c r="H88" s="981">
        <v>35.5</v>
      </c>
    </row>
    <row r="89" spans="1:8" x14ac:dyDescent="0.25">
      <c r="A89" s="981" t="s">
        <v>205</v>
      </c>
      <c r="B89" s="981" t="s">
        <v>251</v>
      </c>
      <c r="C89" s="981"/>
      <c r="D89" s="981" t="s">
        <v>57</v>
      </c>
      <c r="E89" s="981">
        <v>64</v>
      </c>
      <c r="F89" s="981">
        <v>7.75</v>
      </c>
      <c r="G89" s="981">
        <v>8.75</v>
      </c>
      <c r="H89" s="981">
        <v>47.5</v>
      </c>
    </row>
    <row r="90" spans="1:8" x14ac:dyDescent="0.25">
      <c r="A90" s="981" t="s">
        <v>205</v>
      </c>
      <c r="B90" s="981" t="s">
        <v>251</v>
      </c>
      <c r="C90" s="981"/>
      <c r="D90" s="981" t="s">
        <v>58</v>
      </c>
      <c r="E90" s="981">
        <v>62.25</v>
      </c>
      <c r="F90" s="981">
        <v>8.25</v>
      </c>
      <c r="G90" s="981">
        <v>15</v>
      </c>
      <c r="H90" s="981">
        <v>39</v>
      </c>
    </row>
    <row r="91" spans="1:8" x14ac:dyDescent="0.25">
      <c r="A91" s="981" t="s">
        <v>205</v>
      </c>
      <c r="B91" s="981" t="s">
        <v>251</v>
      </c>
      <c r="C91" s="981"/>
      <c r="D91" s="981" t="s">
        <v>31</v>
      </c>
      <c r="E91" s="981">
        <v>15.25</v>
      </c>
      <c r="F91" s="981">
        <v>1.75</v>
      </c>
      <c r="G91" s="981">
        <v>5.5</v>
      </c>
      <c r="H91" s="981">
        <v>8</v>
      </c>
    </row>
    <row r="92" spans="1:8" x14ac:dyDescent="0.25">
      <c r="A92" s="981" t="s">
        <v>205</v>
      </c>
      <c r="B92" s="981" t="s">
        <v>251</v>
      </c>
      <c r="C92" s="981"/>
      <c r="D92" s="981" t="s">
        <v>32</v>
      </c>
      <c r="E92" s="981">
        <v>226.25</v>
      </c>
      <c r="F92" s="981">
        <v>24</v>
      </c>
      <c r="G92" s="981">
        <v>56.25</v>
      </c>
      <c r="H92" s="981">
        <v>146</v>
      </c>
    </row>
    <row r="93" spans="1:8" x14ac:dyDescent="0.25">
      <c r="A93" s="981" t="s">
        <v>205</v>
      </c>
      <c r="B93" s="981" t="s">
        <v>251</v>
      </c>
      <c r="C93" s="981"/>
      <c r="D93" s="981" t="s">
        <v>34</v>
      </c>
      <c r="E93" s="981">
        <v>171.39285714285714</v>
      </c>
      <c r="F93" s="981">
        <v>11.75</v>
      </c>
      <c r="G93" s="981">
        <v>24.75</v>
      </c>
      <c r="H93" s="981">
        <v>134.89285714285714</v>
      </c>
    </row>
    <row r="94" spans="1:8" x14ac:dyDescent="0.25">
      <c r="A94" s="981" t="s">
        <v>205</v>
      </c>
      <c r="B94" s="981" t="s">
        <v>251</v>
      </c>
      <c r="C94" s="981"/>
      <c r="D94" s="981" t="s">
        <v>262</v>
      </c>
      <c r="E94" s="981">
        <v>10</v>
      </c>
      <c r="F94" s="981">
        <v>1</v>
      </c>
      <c r="G94" s="981">
        <v>1.75</v>
      </c>
      <c r="H94" s="981">
        <v>7.25</v>
      </c>
    </row>
    <row r="95" spans="1:8" x14ac:dyDescent="0.25">
      <c r="A95" s="981" t="s">
        <v>205</v>
      </c>
      <c r="B95" s="981" t="s">
        <v>251</v>
      </c>
      <c r="C95" s="981"/>
      <c r="D95" s="981" t="s">
        <v>53</v>
      </c>
      <c r="E95" s="981">
        <v>10.5</v>
      </c>
      <c r="F95" s="981">
        <v>1</v>
      </c>
      <c r="G95" s="981">
        <v>1</v>
      </c>
      <c r="H95" s="981">
        <v>8.5</v>
      </c>
    </row>
    <row r="96" spans="1:8" x14ac:dyDescent="0.25">
      <c r="A96" s="981" t="s">
        <v>205</v>
      </c>
      <c r="B96" s="981" t="s">
        <v>251</v>
      </c>
      <c r="C96" s="981"/>
      <c r="D96" s="981" t="s">
        <v>59</v>
      </c>
      <c r="E96" s="981">
        <v>16.75</v>
      </c>
      <c r="F96" s="981">
        <v>1.75</v>
      </c>
      <c r="G96" s="981">
        <v>1.75</v>
      </c>
      <c r="H96" s="981">
        <v>13.25</v>
      </c>
    </row>
    <row r="97" spans="1:8" x14ac:dyDescent="0.25">
      <c r="A97" s="981" t="s">
        <v>205</v>
      </c>
      <c r="B97" s="981" t="s">
        <v>251</v>
      </c>
      <c r="C97" s="981"/>
      <c r="D97" s="981" t="s">
        <v>60</v>
      </c>
      <c r="E97" s="981">
        <v>44.25</v>
      </c>
      <c r="F97" s="981">
        <v>4.25</v>
      </c>
      <c r="G97" s="981">
        <v>8.25</v>
      </c>
      <c r="H97" s="981">
        <v>31.75</v>
      </c>
    </row>
    <row r="98" spans="1:8" x14ac:dyDescent="0.25">
      <c r="A98" s="981" t="s">
        <v>205</v>
      </c>
      <c r="B98" s="981" t="s">
        <v>251</v>
      </c>
      <c r="C98" s="981"/>
      <c r="D98" s="981" t="s">
        <v>33</v>
      </c>
      <c r="E98" s="981">
        <v>82</v>
      </c>
      <c r="F98" s="981">
        <v>6</v>
      </c>
      <c r="G98" s="981">
        <v>13.5</v>
      </c>
      <c r="H98" s="981">
        <v>62.5</v>
      </c>
    </row>
    <row r="99" spans="1:8" x14ac:dyDescent="0.25">
      <c r="A99" s="981" t="s">
        <v>205</v>
      </c>
      <c r="B99" s="981" t="s">
        <v>251</v>
      </c>
      <c r="C99" s="981"/>
      <c r="D99" s="981" t="s">
        <v>37</v>
      </c>
      <c r="E99" s="981">
        <v>9.5</v>
      </c>
      <c r="F99" s="981">
        <v>0.75</v>
      </c>
      <c r="G99" s="981">
        <v>2.5</v>
      </c>
      <c r="H99" s="981">
        <v>6.25</v>
      </c>
    </row>
    <row r="100" spans="1:8" x14ac:dyDescent="0.25">
      <c r="A100" s="981" t="s">
        <v>205</v>
      </c>
      <c r="B100" s="981" t="s">
        <v>251</v>
      </c>
      <c r="C100" s="981"/>
      <c r="D100" s="981" t="s">
        <v>50</v>
      </c>
      <c r="E100" s="981">
        <v>27</v>
      </c>
      <c r="F100" s="981">
        <v>2.5</v>
      </c>
      <c r="G100" s="981">
        <v>2.5</v>
      </c>
      <c r="H100" s="981">
        <v>22</v>
      </c>
    </row>
    <row r="101" spans="1:8" x14ac:dyDescent="0.25">
      <c r="A101" s="981" t="s">
        <v>205</v>
      </c>
      <c r="B101" s="981" t="s">
        <v>251</v>
      </c>
      <c r="C101" s="981"/>
      <c r="D101" s="981" t="s">
        <v>39</v>
      </c>
      <c r="E101" s="981">
        <v>0</v>
      </c>
      <c r="F101" s="981">
        <v>0</v>
      </c>
      <c r="G101" s="981">
        <v>0</v>
      </c>
      <c r="H101" s="981">
        <v>0</v>
      </c>
    </row>
    <row r="102" spans="1:8" x14ac:dyDescent="0.25">
      <c r="A102" s="981" t="s">
        <v>205</v>
      </c>
      <c r="B102" s="981" t="s">
        <v>251</v>
      </c>
      <c r="C102" s="981"/>
      <c r="D102" s="981" t="s">
        <v>124</v>
      </c>
      <c r="E102" s="981">
        <v>3.25</v>
      </c>
      <c r="F102" s="981">
        <v>0</v>
      </c>
      <c r="G102" s="981">
        <v>0</v>
      </c>
      <c r="H102" s="981">
        <v>3.25</v>
      </c>
    </row>
    <row r="103" spans="1:8" x14ac:dyDescent="0.25">
      <c r="A103" s="981" t="s">
        <v>205</v>
      </c>
      <c r="B103" s="981" t="s">
        <v>251</v>
      </c>
      <c r="C103" s="981"/>
      <c r="D103" s="981" t="s">
        <v>43</v>
      </c>
      <c r="E103" s="981">
        <v>93.37</v>
      </c>
      <c r="F103" s="981">
        <v>9</v>
      </c>
      <c r="G103" s="981">
        <v>18.93</v>
      </c>
      <c r="H103" s="981">
        <v>65.44</v>
      </c>
    </row>
    <row r="104" spans="1:8" x14ac:dyDescent="0.25">
      <c r="A104" s="981" t="s">
        <v>278</v>
      </c>
      <c r="B104" s="981" t="s">
        <v>251</v>
      </c>
      <c r="C104" s="981"/>
      <c r="D104" s="981" t="s">
        <v>286</v>
      </c>
      <c r="E104" s="981">
        <v>2546</v>
      </c>
      <c r="F104" s="981">
        <v>246</v>
      </c>
      <c r="G104" s="981">
        <v>499</v>
      </c>
      <c r="H104" s="981">
        <v>1800</v>
      </c>
    </row>
    <row r="105" spans="1:8" x14ac:dyDescent="0.25">
      <c r="A105" s="981" t="s">
        <v>278</v>
      </c>
      <c r="B105" s="981" t="s">
        <v>251</v>
      </c>
      <c r="C105" s="981"/>
      <c r="D105" s="981" t="s">
        <v>35</v>
      </c>
      <c r="E105" s="981">
        <v>17</v>
      </c>
      <c r="F105" s="981">
        <v>2</v>
      </c>
      <c r="G105" s="981">
        <v>2</v>
      </c>
      <c r="H105" s="981">
        <v>13</v>
      </c>
    </row>
    <row r="106" spans="1:8" x14ac:dyDescent="0.25">
      <c r="A106" s="981" t="s">
        <v>278</v>
      </c>
      <c r="B106" s="981" t="s">
        <v>251</v>
      </c>
      <c r="C106" s="981"/>
      <c r="D106" s="981" t="s">
        <v>36</v>
      </c>
      <c r="E106" s="981">
        <v>177</v>
      </c>
      <c r="F106" s="981">
        <v>14</v>
      </c>
      <c r="G106" s="981">
        <v>34</v>
      </c>
      <c r="H106" s="981">
        <v>129</v>
      </c>
    </row>
    <row r="107" spans="1:8" x14ac:dyDescent="0.25">
      <c r="A107" s="981" t="s">
        <v>278</v>
      </c>
      <c r="B107" s="981" t="s">
        <v>251</v>
      </c>
      <c r="C107" s="981"/>
      <c r="D107" s="981" t="s">
        <v>38</v>
      </c>
      <c r="E107" s="981">
        <v>69</v>
      </c>
      <c r="F107" s="981">
        <v>6</v>
      </c>
      <c r="G107" s="981">
        <v>9</v>
      </c>
      <c r="H107" s="981">
        <v>54</v>
      </c>
    </row>
    <row r="108" spans="1:8" x14ac:dyDescent="0.25">
      <c r="A108" s="981" t="s">
        <v>278</v>
      </c>
      <c r="B108" s="981" t="s">
        <v>251</v>
      </c>
      <c r="C108" s="981"/>
      <c r="D108" s="981" t="s">
        <v>40</v>
      </c>
      <c r="E108" s="981">
        <v>45</v>
      </c>
      <c r="F108" s="981">
        <v>4</v>
      </c>
      <c r="G108" s="981">
        <v>11</v>
      </c>
      <c r="H108" s="981">
        <v>30</v>
      </c>
    </row>
    <row r="109" spans="1:8" x14ac:dyDescent="0.25">
      <c r="A109" s="981" t="s">
        <v>278</v>
      </c>
      <c r="B109" s="981" t="s">
        <v>251</v>
      </c>
      <c r="C109" s="981"/>
      <c r="D109" s="981" t="s">
        <v>41</v>
      </c>
      <c r="E109" s="981">
        <v>0</v>
      </c>
      <c r="F109" s="981">
        <v>0</v>
      </c>
      <c r="G109" s="981">
        <v>0</v>
      </c>
      <c r="H109" s="981">
        <v>0</v>
      </c>
    </row>
    <row r="110" spans="1:8" x14ac:dyDescent="0.25">
      <c r="A110" s="981" t="s">
        <v>278</v>
      </c>
      <c r="B110" s="981" t="s">
        <v>251</v>
      </c>
      <c r="C110" s="981"/>
      <c r="D110" s="981" t="s">
        <v>48</v>
      </c>
      <c r="E110" s="981">
        <v>130</v>
      </c>
      <c r="F110" s="981">
        <v>12</v>
      </c>
      <c r="G110" s="981">
        <v>32</v>
      </c>
      <c r="H110" s="981">
        <v>86</v>
      </c>
    </row>
    <row r="111" spans="1:8" x14ac:dyDescent="0.25">
      <c r="A111" s="981" t="s">
        <v>278</v>
      </c>
      <c r="B111" s="981" t="s">
        <v>251</v>
      </c>
      <c r="C111" s="981"/>
      <c r="D111" s="981" t="s">
        <v>42</v>
      </c>
      <c r="E111" s="981">
        <v>39</v>
      </c>
      <c r="F111" s="981">
        <v>3</v>
      </c>
      <c r="G111" s="981">
        <v>7</v>
      </c>
      <c r="H111" s="981">
        <v>29</v>
      </c>
    </row>
    <row r="112" spans="1:8" x14ac:dyDescent="0.25">
      <c r="A112" s="981" t="s">
        <v>278</v>
      </c>
      <c r="B112" s="981" t="s">
        <v>251</v>
      </c>
      <c r="C112" s="981"/>
      <c r="D112" s="981" t="s">
        <v>44</v>
      </c>
      <c r="E112" s="981">
        <v>485</v>
      </c>
      <c r="F112" s="981">
        <v>50</v>
      </c>
      <c r="G112" s="981">
        <v>97</v>
      </c>
      <c r="H112" s="981">
        <v>338</v>
      </c>
    </row>
    <row r="113" spans="1:8" x14ac:dyDescent="0.25">
      <c r="A113" s="981" t="s">
        <v>278</v>
      </c>
      <c r="B113" s="981" t="s">
        <v>251</v>
      </c>
      <c r="C113" s="981"/>
      <c r="D113" s="981" t="s">
        <v>45</v>
      </c>
      <c r="E113" s="981">
        <v>31</v>
      </c>
      <c r="F113" s="981">
        <v>2</v>
      </c>
      <c r="G113" s="981">
        <v>5</v>
      </c>
      <c r="H113" s="981">
        <v>24</v>
      </c>
    </row>
    <row r="114" spans="1:8" x14ac:dyDescent="0.25">
      <c r="A114" s="981" t="s">
        <v>278</v>
      </c>
      <c r="B114" s="981" t="s">
        <v>251</v>
      </c>
      <c r="C114" s="981"/>
      <c r="D114" s="981" t="s">
        <v>46</v>
      </c>
      <c r="E114" s="981">
        <v>8</v>
      </c>
      <c r="F114" s="981">
        <v>1</v>
      </c>
      <c r="G114" s="981">
        <v>1</v>
      </c>
      <c r="H114" s="981">
        <v>6</v>
      </c>
    </row>
    <row r="115" spans="1:8" x14ac:dyDescent="0.25">
      <c r="A115" s="981" t="s">
        <v>278</v>
      </c>
      <c r="B115" s="981" t="s">
        <v>251</v>
      </c>
      <c r="C115" s="981"/>
      <c r="D115" s="981" t="s">
        <v>47</v>
      </c>
      <c r="E115" s="981">
        <v>112</v>
      </c>
      <c r="F115" s="981">
        <v>11</v>
      </c>
      <c r="G115" s="981">
        <v>22</v>
      </c>
      <c r="H115" s="981">
        <v>79</v>
      </c>
    </row>
    <row r="116" spans="1:8" x14ac:dyDescent="0.25">
      <c r="A116" s="981" t="s">
        <v>278</v>
      </c>
      <c r="B116" s="981" t="s">
        <v>251</v>
      </c>
      <c r="C116" s="981"/>
      <c r="D116" s="981" t="s">
        <v>49</v>
      </c>
      <c r="E116" s="981">
        <v>89</v>
      </c>
      <c r="F116" s="981">
        <v>9</v>
      </c>
      <c r="G116" s="981">
        <v>10</v>
      </c>
      <c r="H116" s="981">
        <v>70</v>
      </c>
    </row>
    <row r="117" spans="1:8" x14ac:dyDescent="0.25">
      <c r="A117" s="981" t="s">
        <v>278</v>
      </c>
      <c r="B117" s="981" t="s">
        <v>251</v>
      </c>
      <c r="C117" s="981"/>
      <c r="D117" s="981" t="s">
        <v>51</v>
      </c>
      <c r="E117" s="981">
        <v>92</v>
      </c>
      <c r="F117" s="981">
        <v>11</v>
      </c>
      <c r="G117" s="981">
        <v>20</v>
      </c>
      <c r="H117" s="981">
        <v>61</v>
      </c>
    </row>
    <row r="118" spans="1:8" x14ac:dyDescent="0.25">
      <c r="A118" s="981" t="s">
        <v>278</v>
      </c>
      <c r="B118" s="981" t="s">
        <v>251</v>
      </c>
      <c r="C118" s="981"/>
      <c r="D118" s="981" t="s">
        <v>52</v>
      </c>
      <c r="E118" s="981">
        <v>107</v>
      </c>
      <c r="F118" s="981">
        <v>8</v>
      </c>
      <c r="G118" s="981">
        <v>21</v>
      </c>
      <c r="H118" s="981">
        <v>78</v>
      </c>
    </row>
    <row r="119" spans="1:8" x14ac:dyDescent="0.25">
      <c r="A119" s="981" t="s">
        <v>278</v>
      </c>
      <c r="B119" s="981" t="s">
        <v>251</v>
      </c>
      <c r="C119" s="981"/>
      <c r="D119" s="981" t="s">
        <v>54</v>
      </c>
      <c r="E119" s="981">
        <v>118</v>
      </c>
      <c r="F119" s="981">
        <v>12</v>
      </c>
      <c r="G119" s="981">
        <v>23</v>
      </c>
      <c r="H119" s="981">
        <v>83</v>
      </c>
    </row>
    <row r="120" spans="1:8" x14ac:dyDescent="0.25">
      <c r="A120" s="981" t="s">
        <v>278</v>
      </c>
      <c r="B120" s="981" t="s">
        <v>251</v>
      </c>
      <c r="C120" s="981"/>
      <c r="D120" s="981" t="s">
        <v>55</v>
      </c>
      <c r="E120" s="981">
        <v>112</v>
      </c>
      <c r="F120" s="981">
        <v>11</v>
      </c>
      <c r="G120" s="981">
        <v>25</v>
      </c>
      <c r="H120" s="981">
        <v>76</v>
      </c>
    </row>
    <row r="121" spans="1:8" x14ac:dyDescent="0.25">
      <c r="A121" s="981" t="s">
        <v>278</v>
      </c>
      <c r="B121" s="981" t="s">
        <v>251</v>
      </c>
      <c r="C121" s="981"/>
      <c r="D121" s="981" t="s">
        <v>56</v>
      </c>
      <c r="E121" s="981">
        <v>42</v>
      </c>
      <c r="F121" s="981">
        <v>5</v>
      </c>
      <c r="G121" s="981">
        <v>7</v>
      </c>
      <c r="H121" s="981">
        <v>30</v>
      </c>
    </row>
    <row r="122" spans="1:8" x14ac:dyDescent="0.25">
      <c r="A122" s="981" t="s">
        <v>278</v>
      </c>
      <c r="B122" s="981" t="s">
        <v>251</v>
      </c>
      <c r="C122" s="981"/>
      <c r="D122" s="981" t="s">
        <v>57</v>
      </c>
      <c r="E122" s="981">
        <v>64</v>
      </c>
      <c r="F122" s="981">
        <v>7</v>
      </c>
      <c r="G122" s="981">
        <v>8</v>
      </c>
      <c r="H122" s="981">
        <v>49</v>
      </c>
    </row>
    <row r="123" spans="1:8" x14ac:dyDescent="0.25">
      <c r="A123" s="981" t="s">
        <v>278</v>
      </c>
      <c r="B123" s="981" t="s">
        <v>251</v>
      </c>
      <c r="C123" s="981"/>
      <c r="D123" s="981" t="s">
        <v>58</v>
      </c>
      <c r="E123" s="981">
        <v>63</v>
      </c>
      <c r="F123" s="981">
        <v>7</v>
      </c>
      <c r="G123" s="981">
        <v>15</v>
      </c>
      <c r="H123" s="981">
        <v>41</v>
      </c>
    </row>
    <row r="124" spans="1:8" x14ac:dyDescent="0.25">
      <c r="A124" s="981" t="s">
        <v>278</v>
      </c>
      <c r="B124" s="981" t="s">
        <v>251</v>
      </c>
      <c r="C124" s="981"/>
      <c r="D124" s="981" t="s">
        <v>31</v>
      </c>
      <c r="E124" s="981">
        <v>5</v>
      </c>
      <c r="F124" s="981">
        <v>1</v>
      </c>
      <c r="G124" s="981">
        <v>1</v>
      </c>
      <c r="H124" s="981">
        <v>3</v>
      </c>
    </row>
    <row r="125" spans="1:8" x14ac:dyDescent="0.25">
      <c r="A125" s="981" t="s">
        <v>278</v>
      </c>
      <c r="B125" s="981" t="s">
        <v>251</v>
      </c>
      <c r="C125" s="981"/>
      <c r="D125" s="981" t="s">
        <v>32</v>
      </c>
      <c r="E125" s="981">
        <v>250</v>
      </c>
      <c r="F125" s="981">
        <v>24</v>
      </c>
      <c r="G125" s="981">
        <v>61</v>
      </c>
      <c r="H125" s="981">
        <v>165</v>
      </c>
    </row>
    <row r="126" spans="1:8" x14ac:dyDescent="0.25">
      <c r="A126" s="981" t="s">
        <v>278</v>
      </c>
      <c r="B126" s="981" t="s">
        <v>251</v>
      </c>
      <c r="C126" s="981"/>
      <c r="D126" s="981" t="s">
        <v>34</v>
      </c>
      <c r="E126" s="981">
        <v>171</v>
      </c>
      <c r="F126" s="981">
        <v>13</v>
      </c>
      <c r="G126" s="981">
        <v>25</v>
      </c>
      <c r="H126" s="981">
        <v>133</v>
      </c>
    </row>
    <row r="127" spans="1:8" x14ac:dyDescent="0.25">
      <c r="A127" s="981" t="s">
        <v>278</v>
      </c>
      <c r="B127" s="981" t="s">
        <v>251</v>
      </c>
      <c r="C127" s="981"/>
      <c r="D127" s="981" t="s">
        <v>262</v>
      </c>
      <c r="E127" s="981">
        <v>9</v>
      </c>
      <c r="F127" s="981">
        <v>1</v>
      </c>
      <c r="G127" s="981">
        <v>1</v>
      </c>
      <c r="H127" s="981">
        <v>7</v>
      </c>
    </row>
    <row r="128" spans="1:8" x14ac:dyDescent="0.25">
      <c r="A128" s="981" t="s">
        <v>278</v>
      </c>
      <c r="B128" s="981" t="s">
        <v>251</v>
      </c>
      <c r="C128" s="981"/>
      <c r="D128" s="981" t="s">
        <v>53</v>
      </c>
      <c r="E128" s="981">
        <v>10</v>
      </c>
      <c r="F128" s="981">
        <v>1</v>
      </c>
      <c r="G128" s="981">
        <v>1</v>
      </c>
      <c r="H128" s="981">
        <v>8</v>
      </c>
    </row>
    <row r="129" spans="1:8" x14ac:dyDescent="0.25">
      <c r="A129" s="981" t="s">
        <v>278</v>
      </c>
      <c r="B129" s="981" t="s">
        <v>251</v>
      </c>
      <c r="C129" s="981"/>
      <c r="D129" s="981" t="s">
        <v>59</v>
      </c>
      <c r="E129" s="981">
        <v>12</v>
      </c>
      <c r="F129" s="981">
        <v>0</v>
      </c>
      <c r="G129" s="981">
        <v>0</v>
      </c>
      <c r="H129" s="981">
        <v>12</v>
      </c>
    </row>
    <row r="130" spans="1:8" x14ac:dyDescent="0.25">
      <c r="A130" s="981" t="s">
        <v>278</v>
      </c>
      <c r="B130" s="981" t="s">
        <v>251</v>
      </c>
      <c r="C130" s="981"/>
      <c r="D130" s="981" t="s">
        <v>60</v>
      </c>
      <c r="E130" s="981">
        <v>48</v>
      </c>
      <c r="F130" s="981">
        <v>4</v>
      </c>
      <c r="G130" s="981">
        <v>9</v>
      </c>
      <c r="H130" s="981">
        <v>35</v>
      </c>
    </row>
    <row r="131" spans="1:8" x14ac:dyDescent="0.25">
      <c r="A131" s="981" t="s">
        <v>278</v>
      </c>
      <c r="B131" s="981" t="s">
        <v>251</v>
      </c>
      <c r="C131" s="981"/>
      <c r="D131" s="981" t="s">
        <v>33</v>
      </c>
      <c r="E131" s="981">
        <v>78</v>
      </c>
      <c r="F131" s="981">
        <v>6</v>
      </c>
      <c r="G131" s="981">
        <v>14</v>
      </c>
      <c r="H131" s="981">
        <v>58</v>
      </c>
    </row>
    <row r="132" spans="1:8" x14ac:dyDescent="0.25">
      <c r="A132" s="981" t="s">
        <v>278</v>
      </c>
      <c r="B132" s="981" t="s">
        <v>251</v>
      </c>
      <c r="C132" s="981"/>
      <c r="D132" s="981" t="s">
        <v>37</v>
      </c>
      <c r="E132" s="981">
        <v>11</v>
      </c>
      <c r="F132" s="981">
        <v>1</v>
      </c>
      <c r="G132" s="981">
        <v>2</v>
      </c>
      <c r="H132" s="981">
        <v>8</v>
      </c>
    </row>
    <row r="133" spans="1:8" x14ac:dyDescent="0.25">
      <c r="A133" s="981" t="s">
        <v>278</v>
      </c>
      <c r="B133" s="981" t="s">
        <v>251</v>
      </c>
      <c r="C133" s="981"/>
      <c r="D133" s="981" t="s">
        <v>50</v>
      </c>
      <c r="E133" s="981">
        <v>25</v>
      </c>
      <c r="F133" s="981">
        <v>3</v>
      </c>
      <c r="G133" s="981">
        <v>5</v>
      </c>
      <c r="H133" s="981">
        <v>17</v>
      </c>
    </row>
    <row r="134" spans="1:8" x14ac:dyDescent="0.25">
      <c r="A134" s="981" t="s">
        <v>278</v>
      </c>
      <c r="B134" s="981" t="s">
        <v>251</v>
      </c>
      <c r="C134" s="981"/>
      <c r="D134" s="981" t="s">
        <v>39</v>
      </c>
      <c r="E134" s="981">
        <v>0</v>
      </c>
      <c r="F134" s="981">
        <v>0</v>
      </c>
      <c r="G134" s="981">
        <v>0</v>
      </c>
      <c r="H134" s="981">
        <v>0</v>
      </c>
    </row>
    <row r="135" spans="1:8" x14ac:dyDescent="0.25">
      <c r="A135" s="981" t="s">
        <v>278</v>
      </c>
      <c r="B135" s="981" t="s">
        <v>251</v>
      </c>
      <c r="C135" s="981"/>
      <c r="D135" s="981" t="s">
        <v>124</v>
      </c>
      <c r="E135" s="981">
        <v>0</v>
      </c>
      <c r="F135" s="981">
        <v>0</v>
      </c>
      <c r="G135" s="981">
        <v>0</v>
      </c>
      <c r="H135" s="981">
        <v>0</v>
      </c>
    </row>
    <row r="136" spans="1:8" x14ac:dyDescent="0.25">
      <c r="A136" s="981" t="s">
        <v>278</v>
      </c>
      <c r="B136" s="981" t="s">
        <v>251</v>
      </c>
      <c r="C136" s="981"/>
      <c r="D136" s="981" t="s">
        <v>43</v>
      </c>
      <c r="E136" s="981">
        <v>93</v>
      </c>
      <c r="F136" s="981">
        <v>9</v>
      </c>
      <c r="G136" s="981">
        <v>18</v>
      </c>
      <c r="H136" s="981">
        <v>66</v>
      </c>
    </row>
    <row r="137" spans="1:8" x14ac:dyDescent="0.25">
      <c r="A137" s="981" t="s">
        <v>259</v>
      </c>
      <c r="B137" s="981" t="s">
        <v>251</v>
      </c>
      <c r="C137" s="981"/>
      <c r="D137" s="981" t="s">
        <v>286</v>
      </c>
      <c r="E137" s="981">
        <v>2545</v>
      </c>
      <c r="F137" s="981">
        <v>246</v>
      </c>
      <c r="G137" s="981">
        <v>477</v>
      </c>
      <c r="H137" s="981">
        <v>1822</v>
      </c>
    </row>
    <row r="138" spans="1:8" x14ac:dyDescent="0.25">
      <c r="A138" s="981" t="s">
        <v>259</v>
      </c>
      <c r="B138" s="981" t="s">
        <v>251</v>
      </c>
      <c r="C138" s="981"/>
      <c r="D138" s="981" t="s">
        <v>35</v>
      </c>
      <c r="E138" s="981">
        <v>17</v>
      </c>
      <c r="F138" s="981">
        <v>2</v>
      </c>
      <c r="G138" s="981">
        <v>2</v>
      </c>
      <c r="H138" s="981">
        <v>13</v>
      </c>
    </row>
    <row r="139" spans="1:8" x14ac:dyDescent="0.25">
      <c r="A139" s="981" t="s">
        <v>259</v>
      </c>
      <c r="B139" s="981" t="s">
        <v>251</v>
      </c>
      <c r="C139" s="981"/>
      <c r="D139" s="981" t="s">
        <v>36</v>
      </c>
      <c r="E139" s="981">
        <v>167</v>
      </c>
      <c r="F139" s="981">
        <v>14</v>
      </c>
      <c r="G139" s="981">
        <v>31</v>
      </c>
      <c r="H139" s="981">
        <v>122</v>
      </c>
    </row>
    <row r="140" spans="1:8" x14ac:dyDescent="0.25">
      <c r="A140" s="981" t="s">
        <v>259</v>
      </c>
      <c r="B140" s="981" t="s">
        <v>251</v>
      </c>
      <c r="C140" s="981"/>
      <c r="D140" s="981" t="s">
        <v>38</v>
      </c>
      <c r="E140" s="981">
        <v>69</v>
      </c>
      <c r="F140" s="981">
        <v>6</v>
      </c>
      <c r="G140" s="981">
        <v>7</v>
      </c>
      <c r="H140" s="981">
        <v>56</v>
      </c>
    </row>
    <row r="141" spans="1:8" x14ac:dyDescent="0.25">
      <c r="A141" s="981" t="s">
        <v>259</v>
      </c>
      <c r="B141" s="981" t="s">
        <v>251</v>
      </c>
      <c r="C141" s="981"/>
      <c r="D141" s="981" t="s">
        <v>40</v>
      </c>
      <c r="E141" s="981">
        <v>47</v>
      </c>
      <c r="F141" s="981">
        <v>5</v>
      </c>
      <c r="G141" s="981">
        <v>9</v>
      </c>
      <c r="H141" s="981">
        <v>34</v>
      </c>
    </row>
    <row r="142" spans="1:8" x14ac:dyDescent="0.25">
      <c r="A142" s="981" t="s">
        <v>259</v>
      </c>
      <c r="B142" s="981" t="s">
        <v>251</v>
      </c>
      <c r="C142" s="981"/>
      <c r="D142" s="981" t="s">
        <v>48</v>
      </c>
      <c r="E142" s="981">
        <v>125</v>
      </c>
      <c r="F142" s="981">
        <v>13</v>
      </c>
      <c r="G142" s="981">
        <v>24</v>
      </c>
      <c r="H142" s="981">
        <v>88</v>
      </c>
    </row>
    <row r="143" spans="1:8" x14ac:dyDescent="0.25">
      <c r="A143" s="981" t="s">
        <v>259</v>
      </c>
      <c r="B143" s="981" t="s">
        <v>251</v>
      </c>
      <c r="C143" s="981"/>
      <c r="D143" s="981" t="s">
        <v>42</v>
      </c>
      <c r="E143" s="981">
        <v>41</v>
      </c>
      <c r="F143" s="981">
        <v>4</v>
      </c>
      <c r="G143" s="981">
        <v>8</v>
      </c>
      <c r="H143" s="981">
        <v>28</v>
      </c>
    </row>
    <row r="144" spans="1:8" x14ac:dyDescent="0.25">
      <c r="A144" s="981" t="s">
        <v>259</v>
      </c>
      <c r="B144" s="981" t="s">
        <v>251</v>
      </c>
      <c r="C144" s="981"/>
      <c r="D144" s="981" t="s">
        <v>44</v>
      </c>
      <c r="E144" s="981">
        <v>494</v>
      </c>
      <c r="F144" s="981">
        <v>53</v>
      </c>
      <c r="G144" s="981">
        <v>101</v>
      </c>
      <c r="H144" s="981">
        <v>340</v>
      </c>
    </row>
    <row r="145" spans="1:8" x14ac:dyDescent="0.25">
      <c r="A145" s="981" t="s">
        <v>259</v>
      </c>
      <c r="B145" s="981" t="s">
        <v>251</v>
      </c>
      <c r="C145" s="981"/>
      <c r="D145" s="981" t="s">
        <v>45</v>
      </c>
      <c r="E145" s="981">
        <v>34</v>
      </c>
      <c r="F145" s="981">
        <v>3</v>
      </c>
      <c r="G145" s="981">
        <v>5</v>
      </c>
      <c r="H145" s="981">
        <v>26</v>
      </c>
    </row>
    <row r="146" spans="1:8" x14ac:dyDescent="0.25">
      <c r="A146" s="981" t="s">
        <v>259</v>
      </c>
      <c r="B146" s="981" t="s">
        <v>251</v>
      </c>
      <c r="C146" s="981"/>
      <c r="D146" s="981" t="s">
        <v>46</v>
      </c>
      <c r="E146" s="981">
        <v>10</v>
      </c>
      <c r="F146" s="981">
        <v>1</v>
      </c>
      <c r="G146" s="981">
        <v>2</v>
      </c>
      <c r="H146" s="981">
        <v>7</v>
      </c>
    </row>
    <row r="147" spans="1:8" x14ac:dyDescent="0.25">
      <c r="A147" s="981" t="s">
        <v>259</v>
      </c>
      <c r="B147" s="981" t="s">
        <v>251</v>
      </c>
      <c r="C147" s="981"/>
      <c r="D147" s="981" t="s">
        <v>47</v>
      </c>
      <c r="E147" s="981">
        <v>111</v>
      </c>
      <c r="F147" s="981">
        <v>11</v>
      </c>
      <c r="G147" s="981">
        <v>24</v>
      </c>
      <c r="H147" s="981">
        <v>76</v>
      </c>
    </row>
    <row r="148" spans="1:8" x14ac:dyDescent="0.25">
      <c r="A148" s="981" t="s">
        <v>259</v>
      </c>
      <c r="B148" s="981" t="s">
        <v>251</v>
      </c>
      <c r="C148" s="981"/>
      <c r="D148" s="981" t="s">
        <v>49</v>
      </c>
      <c r="E148" s="981">
        <v>92</v>
      </c>
      <c r="F148" s="981">
        <v>10</v>
      </c>
      <c r="G148" s="981">
        <v>9</v>
      </c>
      <c r="H148" s="981">
        <v>73</v>
      </c>
    </row>
    <row r="149" spans="1:8" x14ac:dyDescent="0.25">
      <c r="A149" s="981" t="s">
        <v>259</v>
      </c>
      <c r="B149" s="981" t="s">
        <v>251</v>
      </c>
      <c r="C149" s="981"/>
      <c r="D149" s="981" t="s">
        <v>51</v>
      </c>
      <c r="E149" s="981">
        <v>98</v>
      </c>
      <c r="F149" s="981">
        <v>9</v>
      </c>
      <c r="G149" s="981">
        <v>22</v>
      </c>
      <c r="H149" s="981">
        <v>68</v>
      </c>
    </row>
    <row r="150" spans="1:8" x14ac:dyDescent="0.25">
      <c r="A150" s="981" t="s">
        <v>259</v>
      </c>
      <c r="B150" s="981" t="s">
        <v>251</v>
      </c>
      <c r="C150" s="981"/>
      <c r="D150" s="981" t="s">
        <v>52</v>
      </c>
      <c r="E150" s="981">
        <v>110</v>
      </c>
      <c r="F150" s="981">
        <v>8</v>
      </c>
      <c r="G150" s="981">
        <v>22</v>
      </c>
      <c r="H150" s="981">
        <v>80</v>
      </c>
    </row>
    <row r="151" spans="1:8" x14ac:dyDescent="0.25">
      <c r="A151" s="981" t="s">
        <v>259</v>
      </c>
      <c r="B151" s="981" t="s">
        <v>251</v>
      </c>
      <c r="C151" s="981"/>
      <c r="D151" s="981" t="s">
        <v>54</v>
      </c>
      <c r="E151" s="981">
        <v>118</v>
      </c>
      <c r="F151" s="981">
        <v>12</v>
      </c>
      <c r="G151" s="981">
        <v>24</v>
      </c>
      <c r="H151" s="981">
        <v>82</v>
      </c>
    </row>
    <row r="152" spans="1:8" x14ac:dyDescent="0.25">
      <c r="A152" s="981" t="s">
        <v>259</v>
      </c>
      <c r="B152" s="981" t="s">
        <v>251</v>
      </c>
      <c r="C152" s="981"/>
      <c r="D152" s="981" t="s">
        <v>55</v>
      </c>
      <c r="E152" s="981">
        <v>110</v>
      </c>
      <c r="F152" s="981">
        <v>11</v>
      </c>
      <c r="G152" s="981">
        <v>23</v>
      </c>
      <c r="H152" s="981">
        <v>76</v>
      </c>
    </row>
    <row r="153" spans="1:8" x14ac:dyDescent="0.25">
      <c r="A153" s="981" t="s">
        <v>259</v>
      </c>
      <c r="B153" s="981" t="s">
        <v>251</v>
      </c>
      <c r="C153" s="981"/>
      <c r="D153" s="981" t="s">
        <v>56</v>
      </c>
      <c r="E153" s="981">
        <v>44</v>
      </c>
      <c r="F153" s="981">
        <v>5</v>
      </c>
      <c r="G153" s="981">
        <v>5</v>
      </c>
      <c r="H153" s="981">
        <v>34</v>
      </c>
    </row>
    <row r="154" spans="1:8" x14ac:dyDescent="0.25">
      <c r="A154" s="981" t="s">
        <v>259</v>
      </c>
      <c r="B154" s="981" t="s">
        <v>251</v>
      </c>
      <c r="C154" s="981"/>
      <c r="D154" s="981" t="s">
        <v>57</v>
      </c>
      <c r="E154" s="981">
        <v>66</v>
      </c>
      <c r="F154" s="981">
        <v>9</v>
      </c>
      <c r="G154" s="981">
        <v>7</v>
      </c>
      <c r="H154" s="981">
        <v>50</v>
      </c>
    </row>
    <row r="155" spans="1:8" x14ac:dyDescent="0.25">
      <c r="A155" s="981" t="s">
        <v>259</v>
      </c>
      <c r="B155" s="981" t="s">
        <v>251</v>
      </c>
      <c r="C155" s="981"/>
      <c r="D155" s="981" t="s">
        <v>58</v>
      </c>
      <c r="E155" s="981">
        <v>65</v>
      </c>
      <c r="F155" s="981">
        <v>8</v>
      </c>
      <c r="G155" s="981">
        <v>14</v>
      </c>
      <c r="H155" s="981">
        <v>44</v>
      </c>
    </row>
    <row r="156" spans="1:8" x14ac:dyDescent="0.25">
      <c r="A156" s="981" t="s">
        <v>259</v>
      </c>
      <c r="B156" s="981" t="s">
        <v>251</v>
      </c>
      <c r="C156" s="981"/>
      <c r="D156" s="981" t="s">
        <v>31</v>
      </c>
      <c r="E156" s="981">
        <v>6</v>
      </c>
      <c r="F156" s="981">
        <v>1</v>
      </c>
      <c r="G156" s="981">
        <v>1</v>
      </c>
      <c r="H156" s="981">
        <v>4</v>
      </c>
    </row>
    <row r="157" spans="1:8" x14ac:dyDescent="0.25">
      <c r="A157" s="981" t="s">
        <v>259</v>
      </c>
      <c r="B157" s="981" t="s">
        <v>251</v>
      </c>
      <c r="C157" s="981"/>
      <c r="D157" s="981" t="s">
        <v>32</v>
      </c>
      <c r="E157" s="981">
        <v>248</v>
      </c>
      <c r="F157" s="981">
        <v>23</v>
      </c>
      <c r="G157" s="981">
        <v>63</v>
      </c>
      <c r="H157" s="981">
        <v>162</v>
      </c>
    </row>
    <row r="158" spans="1:8" x14ac:dyDescent="0.25">
      <c r="A158" s="981" t="s">
        <v>259</v>
      </c>
      <c r="B158" s="981" t="s">
        <v>251</v>
      </c>
      <c r="C158" s="981"/>
      <c r="D158" s="981" t="s">
        <v>34</v>
      </c>
      <c r="E158" s="981">
        <v>166</v>
      </c>
      <c r="F158" s="981">
        <v>14</v>
      </c>
      <c r="G158" s="981">
        <v>24</v>
      </c>
      <c r="H158" s="981">
        <v>128</v>
      </c>
    </row>
    <row r="159" spans="1:8" x14ac:dyDescent="0.25">
      <c r="A159" s="981" t="s">
        <v>259</v>
      </c>
      <c r="B159" s="981" t="s">
        <v>251</v>
      </c>
      <c r="C159" s="981"/>
      <c r="D159" s="981" t="s">
        <v>262</v>
      </c>
      <c r="E159" s="981">
        <v>8</v>
      </c>
      <c r="F159" s="981">
        <v>1</v>
      </c>
      <c r="G159" s="981">
        <v>1</v>
      </c>
      <c r="H159" s="981">
        <v>6</v>
      </c>
    </row>
    <row r="160" spans="1:8" x14ac:dyDescent="0.25">
      <c r="A160" s="981" t="s">
        <v>259</v>
      </c>
      <c r="B160" s="981" t="s">
        <v>251</v>
      </c>
      <c r="C160" s="981"/>
      <c r="D160" s="981" t="s">
        <v>53</v>
      </c>
      <c r="E160" s="981">
        <v>13</v>
      </c>
      <c r="F160" s="981">
        <v>1</v>
      </c>
      <c r="G160" s="981">
        <v>2</v>
      </c>
      <c r="H160" s="981">
        <v>10</v>
      </c>
    </row>
    <row r="161" spans="1:8" x14ac:dyDescent="0.25">
      <c r="A161" s="981" t="s">
        <v>259</v>
      </c>
      <c r="B161" s="981" t="s">
        <v>251</v>
      </c>
      <c r="C161" s="981"/>
      <c r="D161" s="981" t="s">
        <v>59</v>
      </c>
      <c r="E161" s="981">
        <v>16</v>
      </c>
      <c r="F161" s="981">
        <v>2</v>
      </c>
      <c r="G161" s="981">
        <v>2</v>
      </c>
      <c r="H161" s="981">
        <v>12</v>
      </c>
    </row>
    <row r="162" spans="1:8" x14ac:dyDescent="0.25">
      <c r="A162" s="981" t="s">
        <v>259</v>
      </c>
      <c r="B162" s="981" t="s">
        <v>251</v>
      </c>
      <c r="C162" s="981"/>
      <c r="D162" s="981" t="s">
        <v>60</v>
      </c>
      <c r="E162" s="981">
        <v>49</v>
      </c>
      <c r="F162" s="981">
        <v>4</v>
      </c>
      <c r="G162" s="981">
        <v>9</v>
      </c>
      <c r="H162" s="981">
        <v>36</v>
      </c>
    </row>
    <row r="163" spans="1:8" x14ac:dyDescent="0.25">
      <c r="A163" s="981" t="s">
        <v>259</v>
      </c>
      <c r="B163" s="981" t="s">
        <v>251</v>
      </c>
      <c r="C163" s="981"/>
      <c r="D163" s="981" t="s">
        <v>33</v>
      </c>
      <c r="E163" s="981">
        <v>80</v>
      </c>
      <c r="F163" s="981">
        <v>6</v>
      </c>
      <c r="G163" s="981">
        <v>14</v>
      </c>
      <c r="H163" s="981">
        <v>60</v>
      </c>
    </row>
    <row r="164" spans="1:8" x14ac:dyDescent="0.25">
      <c r="A164" s="981" t="s">
        <v>259</v>
      </c>
      <c r="B164" s="981" t="s">
        <v>251</v>
      </c>
      <c r="C164" s="981"/>
      <c r="D164" s="981" t="s">
        <v>37</v>
      </c>
      <c r="E164" s="981">
        <v>12</v>
      </c>
      <c r="F164" s="981">
        <v>1</v>
      </c>
      <c r="G164" s="981">
        <v>2</v>
      </c>
      <c r="H164" s="981">
        <v>9</v>
      </c>
    </row>
    <row r="165" spans="1:8" x14ac:dyDescent="0.25">
      <c r="A165" s="981" t="s">
        <v>259</v>
      </c>
      <c r="B165" s="981" t="s">
        <v>251</v>
      </c>
      <c r="C165" s="981"/>
      <c r="D165" s="981" t="s">
        <v>50</v>
      </c>
      <c r="E165" s="981">
        <v>28</v>
      </c>
      <c r="F165" s="981">
        <v>2</v>
      </c>
      <c r="G165" s="981">
        <v>5</v>
      </c>
      <c r="H165" s="981">
        <v>21</v>
      </c>
    </row>
    <row r="166" spans="1:8" x14ac:dyDescent="0.25">
      <c r="A166" s="981" t="s">
        <v>259</v>
      </c>
      <c r="B166" s="981" t="s">
        <v>251</v>
      </c>
      <c r="C166" s="981"/>
      <c r="D166" s="981" t="s">
        <v>43</v>
      </c>
      <c r="E166" s="981">
        <v>101</v>
      </c>
      <c r="F166" s="981">
        <v>9</v>
      </c>
      <c r="G166" s="981">
        <v>18</v>
      </c>
      <c r="H166" s="981">
        <v>75</v>
      </c>
    </row>
    <row r="167" spans="1:8" x14ac:dyDescent="0.25">
      <c r="A167" s="981" t="s">
        <v>258</v>
      </c>
      <c r="B167" s="981" t="s">
        <v>251</v>
      </c>
      <c r="C167" s="981"/>
      <c r="D167" s="981" t="s">
        <v>286</v>
      </c>
      <c r="E167" s="981">
        <v>2611</v>
      </c>
      <c r="F167" s="981">
        <v>268</v>
      </c>
      <c r="G167" s="981">
        <v>479</v>
      </c>
      <c r="H167" s="981">
        <v>1864</v>
      </c>
    </row>
    <row r="168" spans="1:8" x14ac:dyDescent="0.25">
      <c r="A168" s="981" t="s">
        <v>258</v>
      </c>
      <c r="B168" s="981" t="s">
        <v>251</v>
      </c>
      <c r="C168" s="981"/>
      <c r="D168" s="981" t="s">
        <v>35</v>
      </c>
      <c r="E168" s="981">
        <v>15</v>
      </c>
      <c r="F168" s="981">
        <v>1</v>
      </c>
      <c r="G168" s="981">
        <v>3</v>
      </c>
      <c r="H168" s="981">
        <v>11</v>
      </c>
    </row>
    <row r="169" spans="1:8" x14ac:dyDescent="0.25">
      <c r="A169" s="981" t="s">
        <v>258</v>
      </c>
      <c r="B169" s="981" t="s">
        <v>251</v>
      </c>
      <c r="C169" s="981"/>
      <c r="D169" s="981" t="s">
        <v>36</v>
      </c>
      <c r="E169" s="981">
        <v>174</v>
      </c>
      <c r="F169" s="981">
        <v>16</v>
      </c>
      <c r="G169" s="981">
        <v>31</v>
      </c>
      <c r="H169" s="981">
        <v>127</v>
      </c>
    </row>
    <row r="170" spans="1:8" x14ac:dyDescent="0.25">
      <c r="A170" s="981" t="s">
        <v>258</v>
      </c>
      <c r="B170" s="981" t="s">
        <v>251</v>
      </c>
      <c r="C170" s="981"/>
      <c r="D170" s="981" t="s">
        <v>38</v>
      </c>
      <c r="E170" s="981">
        <v>62</v>
      </c>
      <c r="F170" s="981">
        <v>4</v>
      </c>
      <c r="G170" s="981">
        <v>8</v>
      </c>
      <c r="H170" s="981">
        <v>49</v>
      </c>
    </row>
    <row r="171" spans="1:8" x14ac:dyDescent="0.25">
      <c r="A171" s="981" t="s">
        <v>258</v>
      </c>
      <c r="B171" s="981" t="s">
        <v>251</v>
      </c>
      <c r="C171" s="981"/>
      <c r="D171" s="981" t="s">
        <v>40</v>
      </c>
      <c r="E171" s="981">
        <v>52</v>
      </c>
      <c r="F171" s="981">
        <v>5</v>
      </c>
      <c r="G171" s="981">
        <v>10</v>
      </c>
      <c r="H171" s="981">
        <v>36</v>
      </c>
    </row>
    <row r="172" spans="1:8" x14ac:dyDescent="0.25">
      <c r="A172" s="981" t="s">
        <v>258</v>
      </c>
      <c r="B172" s="981" t="s">
        <v>251</v>
      </c>
      <c r="C172" s="981"/>
      <c r="D172" s="981" t="s">
        <v>48</v>
      </c>
      <c r="E172" s="981">
        <v>128</v>
      </c>
      <c r="F172" s="981">
        <v>14</v>
      </c>
      <c r="G172" s="981">
        <v>24</v>
      </c>
      <c r="H172" s="981">
        <v>90</v>
      </c>
    </row>
    <row r="173" spans="1:8" x14ac:dyDescent="0.25">
      <c r="A173" s="981" t="s">
        <v>258</v>
      </c>
      <c r="B173" s="981" t="s">
        <v>251</v>
      </c>
      <c r="C173" s="981"/>
      <c r="D173" s="981" t="s">
        <v>42</v>
      </c>
      <c r="E173" s="981">
        <v>41</v>
      </c>
      <c r="F173" s="981">
        <v>4</v>
      </c>
      <c r="G173" s="981">
        <v>8</v>
      </c>
      <c r="H173" s="981">
        <v>29</v>
      </c>
    </row>
    <row r="174" spans="1:8" x14ac:dyDescent="0.25">
      <c r="A174" s="981" t="s">
        <v>258</v>
      </c>
      <c r="B174" s="981" t="s">
        <v>251</v>
      </c>
      <c r="C174" s="981"/>
      <c r="D174" s="981" t="s">
        <v>44</v>
      </c>
      <c r="E174" s="981">
        <v>516</v>
      </c>
      <c r="F174" s="981">
        <v>66</v>
      </c>
      <c r="G174" s="981">
        <v>96</v>
      </c>
      <c r="H174" s="981">
        <v>353</v>
      </c>
    </row>
    <row r="175" spans="1:8" x14ac:dyDescent="0.25">
      <c r="A175" s="981" t="s">
        <v>258</v>
      </c>
      <c r="B175" s="981" t="s">
        <v>251</v>
      </c>
      <c r="C175" s="981"/>
      <c r="D175" s="981" t="s">
        <v>45</v>
      </c>
      <c r="E175" s="981">
        <v>36</v>
      </c>
      <c r="F175" s="981">
        <v>3</v>
      </c>
      <c r="G175" s="981">
        <v>5</v>
      </c>
      <c r="H175" s="981">
        <v>29</v>
      </c>
    </row>
    <row r="176" spans="1:8" x14ac:dyDescent="0.25">
      <c r="A176" s="981" t="s">
        <v>258</v>
      </c>
      <c r="B176" s="981" t="s">
        <v>251</v>
      </c>
      <c r="C176" s="981"/>
      <c r="D176" s="981" t="s">
        <v>46</v>
      </c>
      <c r="E176" s="981">
        <v>11</v>
      </c>
      <c r="F176" s="981">
        <v>1</v>
      </c>
      <c r="G176" s="981">
        <v>2</v>
      </c>
      <c r="H176" s="981">
        <v>8</v>
      </c>
    </row>
    <row r="177" spans="1:8" x14ac:dyDescent="0.25">
      <c r="A177" s="981" t="s">
        <v>258</v>
      </c>
      <c r="B177" s="981" t="s">
        <v>251</v>
      </c>
      <c r="C177" s="981"/>
      <c r="D177" s="981" t="s">
        <v>47</v>
      </c>
      <c r="E177" s="981">
        <v>110</v>
      </c>
      <c r="F177" s="981">
        <v>11</v>
      </c>
      <c r="G177" s="981">
        <v>24</v>
      </c>
      <c r="H177" s="981">
        <v>75</v>
      </c>
    </row>
    <row r="178" spans="1:8" x14ac:dyDescent="0.25">
      <c r="A178" s="981" t="s">
        <v>258</v>
      </c>
      <c r="B178" s="981" t="s">
        <v>251</v>
      </c>
      <c r="C178" s="981"/>
      <c r="D178" s="981" t="s">
        <v>49</v>
      </c>
      <c r="E178" s="981">
        <v>92</v>
      </c>
      <c r="F178" s="981">
        <v>12</v>
      </c>
      <c r="G178" s="981">
        <v>10</v>
      </c>
      <c r="H178" s="981">
        <v>70</v>
      </c>
    </row>
    <row r="179" spans="1:8" x14ac:dyDescent="0.25">
      <c r="A179" s="981" t="s">
        <v>258</v>
      </c>
      <c r="B179" s="981" t="s">
        <v>251</v>
      </c>
      <c r="C179" s="981"/>
      <c r="D179" s="981" t="s">
        <v>51</v>
      </c>
      <c r="E179" s="981">
        <v>108</v>
      </c>
      <c r="F179" s="981">
        <v>10</v>
      </c>
      <c r="G179" s="981">
        <v>23</v>
      </c>
      <c r="H179" s="981">
        <v>75</v>
      </c>
    </row>
    <row r="180" spans="1:8" x14ac:dyDescent="0.25">
      <c r="A180" s="981" t="s">
        <v>258</v>
      </c>
      <c r="B180" s="981" t="s">
        <v>251</v>
      </c>
      <c r="C180" s="981"/>
      <c r="D180" s="981" t="s">
        <v>52</v>
      </c>
      <c r="E180" s="981">
        <v>113</v>
      </c>
      <c r="F180" s="981">
        <v>10</v>
      </c>
      <c r="G180" s="981">
        <v>20</v>
      </c>
      <c r="H180" s="981">
        <v>82</v>
      </c>
    </row>
    <row r="181" spans="1:8" x14ac:dyDescent="0.25">
      <c r="A181" s="981" t="s">
        <v>258</v>
      </c>
      <c r="B181" s="981" t="s">
        <v>251</v>
      </c>
      <c r="C181" s="981"/>
      <c r="D181" s="981" t="s">
        <v>54</v>
      </c>
      <c r="E181" s="981">
        <v>119</v>
      </c>
      <c r="F181" s="981">
        <v>12</v>
      </c>
      <c r="G181" s="981">
        <v>25</v>
      </c>
      <c r="H181" s="981">
        <v>82</v>
      </c>
    </row>
    <row r="182" spans="1:8" x14ac:dyDescent="0.25">
      <c r="A182" s="981" t="s">
        <v>258</v>
      </c>
      <c r="B182" s="981" t="s">
        <v>251</v>
      </c>
      <c r="C182" s="981"/>
      <c r="D182" s="981" t="s">
        <v>55</v>
      </c>
      <c r="E182" s="981">
        <v>119</v>
      </c>
      <c r="F182" s="981">
        <v>13</v>
      </c>
      <c r="G182" s="981">
        <v>24</v>
      </c>
      <c r="H182" s="981">
        <v>83</v>
      </c>
    </row>
    <row r="183" spans="1:8" x14ac:dyDescent="0.25">
      <c r="A183" s="981" t="s">
        <v>258</v>
      </c>
      <c r="B183" s="981" t="s">
        <v>251</v>
      </c>
      <c r="C183" s="981"/>
      <c r="D183" s="981" t="s">
        <v>56</v>
      </c>
      <c r="E183" s="981">
        <v>51</v>
      </c>
      <c r="F183" s="981">
        <v>5</v>
      </c>
      <c r="G183" s="981">
        <v>6</v>
      </c>
      <c r="H183" s="981">
        <v>40</v>
      </c>
    </row>
    <row r="184" spans="1:8" x14ac:dyDescent="0.25">
      <c r="A184" s="981" t="s">
        <v>258</v>
      </c>
      <c r="B184" s="981" t="s">
        <v>251</v>
      </c>
      <c r="C184" s="981"/>
      <c r="D184" s="981" t="s">
        <v>57</v>
      </c>
      <c r="E184" s="981">
        <v>66</v>
      </c>
      <c r="F184" s="981">
        <v>8</v>
      </c>
      <c r="G184" s="981">
        <v>7</v>
      </c>
      <c r="H184" s="981">
        <v>51</v>
      </c>
    </row>
    <row r="185" spans="1:8" x14ac:dyDescent="0.25">
      <c r="A185" s="981" t="s">
        <v>258</v>
      </c>
      <c r="B185" s="981" t="s">
        <v>251</v>
      </c>
      <c r="C185" s="981"/>
      <c r="D185" s="981" t="s">
        <v>58</v>
      </c>
      <c r="E185" s="981">
        <v>68</v>
      </c>
      <c r="F185" s="981">
        <v>8</v>
      </c>
      <c r="G185" s="981">
        <v>14</v>
      </c>
      <c r="H185" s="981">
        <v>45</v>
      </c>
    </row>
    <row r="186" spans="1:8" x14ac:dyDescent="0.25">
      <c r="A186" s="981" t="s">
        <v>258</v>
      </c>
      <c r="B186" s="981" t="s">
        <v>251</v>
      </c>
      <c r="C186" s="981"/>
      <c r="D186" s="981" t="s">
        <v>31</v>
      </c>
      <c r="E186" s="981">
        <v>7</v>
      </c>
      <c r="F186" s="981">
        <v>1</v>
      </c>
      <c r="G186" s="981">
        <v>2</v>
      </c>
      <c r="H186" s="981">
        <v>3</v>
      </c>
    </row>
    <row r="187" spans="1:8" x14ac:dyDescent="0.25">
      <c r="A187" s="981" t="s">
        <v>258</v>
      </c>
      <c r="B187" s="981" t="s">
        <v>251</v>
      </c>
      <c r="C187" s="981"/>
      <c r="D187" s="981" t="s">
        <v>32</v>
      </c>
      <c r="E187" s="981">
        <v>256</v>
      </c>
      <c r="F187" s="981">
        <v>24</v>
      </c>
      <c r="G187" s="981">
        <v>62</v>
      </c>
      <c r="H187" s="981">
        <v>170</v>
      </c>
    </row>
    <row r="188" spans="1:8" x14ac:dyDescent="0.25">
      <c r="A188" s="981" t="s">
        <v>258</v>
      </c>
      <c r="B188" s="981" t="s">
        <v>251</v>
      </c>
      <c r="C188" s="981"/>
      <c r="D188" s="981" t="s">
        <v>34</v>
      </c>
      <c r="E188" s="981">
        <v>165</v>
      </c>
      <c r="F188" s="981">
        <v>14</v>
      </c>
      <c r="G188" s="981">
        <v>23</v>
      </c>
      <c r="H188" s="981">
        <v>128</v>
      </c>
    </row>
    <row r="189" spans="1:8" x14ac:dyDescent="0.25">
      <c r="A189" s="981" t="s">
        <v>258</v>
      </c>
      <c r="B189" s="981" t="s">
        <v>251</v>
      </c>
      <c r="C189" s="981"/>
      <c r="D189" s="981" t="s">
        <v>262</v>
      </c>
      <c r="E189" s="981">
        <v>6</v>
      </c>
      <c r="F189" s="981"/>
      <c r="G189" s="981">
        <v>1</v>
      </c>
      <c r="H189" s="981">
        <v>4</v>
      </c>
    </row>
    <row r="190" spans="1:8" x14ac:dyDescent="0.25">
      <c r="A190" s="981" t="s">
        <v>258</v>
      </c>
      <c r="B190" s="981" t="s">
        <v>251</v>
      </c>
      <c r="C190" s="981"/>
      <c r="D190" s="981" t="s">
        <v>53</v>
      </c>
      <c r="E190" s="981">
        <v>12</v>
      </c>
      <c r="F190" s="981">
        <v>1</v>
      </c>
      <c r="G190" s="981">
        <v>2</v>
      </c>
      <c r="H190" s="981">
        <v>10</v>
      </c>
    </row>
    <row r="191" spans="1:8" x14ac:dyDescent="0.25">
      <c r="A191" s="981" t="s">
        <v>258</v>
      </c>
      <c r="B191" s="981" t="s">
        <v>251</v>
      </c>
      <c r="C191" s="981"/>
      <c r="D191" s="981" t="s">
        <v>59</v>
      </c>
      <c r="E191" s="981">
        <v>18</v>
      </c>
      <c r="F191" s="981">
        <v>2</v>
      </c>
      <c r="G191" s="981">
        <v>2</v>
      </c>
      <c r="H191" s="981">
        <v>14</v>
      </c>
    </row>
    <row r="192" spans="1:8" x14ac:dyDescent="0.25">
      <c r="A192" s="981" t="s">
        <v>258</v>
      </c>
      <c r="B192" s="981" t="s">
        <v>251</v>
      </c>
      <c r="C192" s="981"/>
      <c r="D192" s="981" t="s">
        <v>60</v>
      </c>
      <c r="E192" s="981">
        <v>45</v>
      </c>
      <c r="F192" s="981">
        <v>4</v>
      </c>
      <c r="G192" s="981">
        <v>9</v>
      </c>
      <c r="H192" s="981">
        <v>33</v>
      </c>
    </row>
    <row r="193" spans="1:8" x14ac:dyDescent="0.25">
      <c r="A193" s="981" t="s">
        <v>258</v>
      </c>
      <c r="B193" s="981" t="s">
        <v>251</v>
      </c>
      <c r="C193" s="981"/>
      <c r="D193" s="981" t="s">
        <v>33</v>
      </c>
      <c r="E193" s="981">
        <v>84</v>
      </c>
      <c r="F193" s="981">
        <v>6</v>
      </c>
      <c r="G193" s="981">
        <v>12</v>
      </c>
      <c r="H193" s="981">
        <v>66</v>
      </c>
    </row>
    <row r="194" spans="1:8" x14ac:dyDescent="0.25">
      <c r="A194" s="981" t="s">
        <v>258</v>
      </c>
      <c r="B194" s="981" t="s">
        <v>251</v>
      </c>
      <c r="C194" s="981"/>
      <c r="D194" s="981" t="s">
        <v>37</v>
      </c>
      <c r="E194" s="981">
        <v>10</v>
      </c>
      <c r="F194" s="981">
        <v>1</v>
      </c>
      <c r="G194" s="981">
        <v>2</v>
      </c>
      <c r="H194" s="981">
        <v>8</v>
      </c>
    </row>
    <row r="195" spans="1:8" x14ac:dyDescent="0.25">
      <c r="A195" s="981" t="s">
        <v>258</v>
      </c>
      <c r="B195" s="981" t="s">
        <v>251</v>
      </c>
      <c r="C195" s="981"/>
      <c r="D195" s="981" t="s">
        <v>50</v>
      </c>
      <c r="E195" s="981">
        <v>26</v>
      </c>
      <c r="F195" s="981">
        <v>2</v>
      </c>
      <c r="G195" s="981">
        <v>5</v>
      </c>
      <c r="H195" s="981">
        <v>18</v>
      </c>
    </row>
    <row r="196" spans="1:8" x14ac:dyDescent="0.25">
      <c r="A196" s="981" t="s">
        <v>258</v>
      </c>
      <c r="B196" s="981" t="s">
        <v>251</v>
      </c>
      <c r="C196" s="981"/>
      <c r="D196" s="981" t="s">
        <v>43</v>
      </c>
      <c r="E196" s="981">
        <v>102</v>
      </c>
      <c r="F196" s="981">
        <v>10</v>
      </c>
      <c r="G196" s="981">
        <v>18</v>
      </c>
      <c r="H196" s="981">
        <v>75</v>
      </c>
    </row>
  </sheetData>
  <mergeCells count="1">
    <mergeCell ref="A2:B2"/>
  </mergeCells>
  <pageMargins left="0.7" right="0.7" top="0.75" bottom="0.75" header="0.3" footer="0.3"/>
  <pageSetup paperSize="9" fitToHeight="5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K10"/>
  <sheetViews>
    <sheetView zoomScale="85" zoomScaleNormal="85" workbookViewId="0">
      <pane ySplit="4" topLeftCell="A5" activePane="bottomLeft" state="frozen"/>
      <selection activeCell="A5" sqref="A5"/>
      <selection pane="bottomLeft" activeCell="D9" sqref="D9"/>
    </sheetView>
  </sheetViews>
  <sheetFormatPr defaultRowHeight="15" x14ac:dyDescent="0.25"/>
  <sheetData>
    <row r="1" spans="1:11" ht="15.75" x14ac:dyDescent="0.25">
      <c r="A1" s="982" t="s">
        <v>926</v>
      </c>
    </row>
    <row r="2" spans="1:11" x14ac:dyDescent="0.25">
      <c r="A2" s="1047">
        <v>43700</v>
      </c>
      <c r="B2" s="1048"/>
    </row>
    <row r="4" spans="1:11" x14ac:dyDescent="0.25">
      <c r="A4" s="980" t="s">
        <v>274</v>
      </c>
      <c r="B4" s="980" t="s">
        <v>894</v>
      </c>
      <c r="C4" s="980" t="s">
        <v>916</v>
      </c>
      <c r="D4" s="980" t="s">
        <v>261</v>
      </c>
      <c r="E4" s="980" t="s">
        <v>26</v>
      </c>
      <c r="F4" s="980" t="s">
        <v>18</v>
      </c>
      <c r="G4" s="980" t="s">
        <v>19</v>
      </c>
      <c r="H4" s="980" t="s">
        <v>20</v>
      </c>
      <c r="I4" s="980" t="s">
        <v>21</v>
      </c>
      <c r="J4" s="980" t="s">
        <v>22</v>
      </c>
      <c r="K4" s="980" t="s">
        <v>83</v>
      </c>
    </row>
    <row r="5" spans="1:11" x14ac:dyDescent="0.25">
      <c r="A5" s="981" t="s">
        <v>207</v>
      </c>
      <c r="B5" s="981" t="s">
        <v>254</v>
      </c>
      <c r="C5" s="981" t="s">
        <v>263</v>
      </c>
      <c r="D5" s="981" t="s">
        <v>391</v>
      </c>
      <c r="E5" s="981">
        <v>212.96</v>
      </c>
      <c r="F5" s="981"/>
      <c r="G5" s="981">
        <v>5</v>
      </c>
      <c r="H5" s="981">
        <v>11</v>
      </c>
      <c r="I5" s="981">
        <v>51.56</v>
      </c>
      <c r="J5" s="981">
        <v>51.01</v>
      </c>
      <c r="K5" s="981">
        <v>94.39</v>
      </c>
    </row>
    <row r="6" spans="1:11" x14ac:dyDescent="0.25">
      <c r="A6" s="981" t="s">
        <v>206</v>
      </c>
      <c r="B6" s="981" t="s">
        <v>254</v>
      </c>
      <c r="C6" s="981" t="s">
        <v>263</v>
      </c>
      <c r="D6" s="981" t="s">
        <v>391</v>
      </c>
      <c r="E6" s="981">
        <v>220.79</v>
      </c>
      <c r="F6" s="981"/>
      <c r="G6" s="981">
        <v>5</v>
      </c>
      <c r="H6" s="981">
        <v>12.85</v>
      </c>
      <c r="I6" s="981">
        <v>49.46</v>
      </c>
      <c r="J6" s="981">
        <v>50.79</v>
      </c>
      <c r="K6" s="981">
        <v>102.69</v>
      </c>
    </row>
    <row r="7" spans="1:11" x14ac:dyDescent="0.25">
      <c r="A7" s="981" t="s">
        <v>205</v>
      </c>
      <c r="B7" s="981" t="s">
        <v>254</v>
      </c>
      <c r="C7" s="981" t="s">
        <v>263</v>
      </c>
      <c r="D7" s="981" t="s">
        <v>391</v>
      </c>
      <c r="E7" s="981">
        <v>195.16952380952381</v>
      </c>
      <c r="F7" s="981"/>
      <c r="G7" s="981">
        <v>6</v>
      </c>
      <c r="H7" s="981">
        <v>6.8333333333333339</v>
      </c>
      <c r="I7" s="981">
        <v>50.314285714285717</v>
      </c>
      <c r="J7" s="981">
        <v>43</v>
      </c>
      <c r="K7" s="981">
        <v>89.021904761904764</v>
      </c>
    </row>
    <row r="8" spans="1:11" x14ac:dyDescent="0.25">
      <c r="A8" s="981" t="s">
        <v>278</v>
      </c>
      <c r="B8" s="981" t="s">
        <v>254</v>
      </c>
      <c r="C8" s="981" t="s">
        <v>263</v>
      </c>
      <c r="D8" s="981" t="s">
        <v>391</v>
      </c>
      <c r="E8" s="981">
        <v>160</v>
      </c>
      <c r="F8" s="981"/>
      <c r="G8" s="981">
        <v>5</v>
      </c>
      <c r="H8" s="981">
        <v>8</v>
      </c>
      <c r="I8" s="981">
        <v>40</v>
      </c>
      <c r="J8" s="981">
        <v>30</v>
      </c>
      <c r="K8" s="981">
        <v>76</v>
      </c>
    </row>
    <row r="9" spans="1:11" x14ac:dyDescent="0.25">
      <c r="A9" s="981" t="s">
        <v>259</v>
      </c>
      <c r="B9" s="981" t="s">
        <v>254</v>
      </c>
      <c r="C9" s="981" t="s">
        <v>263</v>
      </c>
      <c r="D9" s="981" t="s">
        <v>391</v>
      </c>
      <c r="E9" s="981">
        <v>184</v>
      </c>
      <c r="F9" s="981"/>
      <c r="G9" s="981">
        <v>5</v>
      </c>
      <c r="H9" s="981">
        <v>8</v>
      </c>
      <c r="I9" s="981">
        <v>43</v>
      </c>
      <c r="J9" s="981">
        <v>27</v>
      </c>
      <c r="K9" s="981">
        <v>101</v>
      </c>
    </row>
    <row r="10" spans="1:11" x14ac:dyDescent="0.25">
      <c r="A10" s="981" t="s">
        <v>258</v>
      </c>
      <c r="B10" s="981" t="s">
        <v>254</v>
      </c>
      <c r="C10" s="981" t="s">
        <v>263</v>
      </c>
      <c r="D10" s="981" t="s">
        <v>391</v>
      </c>
      <c r="E10" s="981">
        <v>202</v>
      </c>
      <c r="F10" s="985">
        <v>1</v>
      </c>
      <c r="G10" s="981">
        <v>4</v>
      </c>
      <c r="H10" s="981">
        <v>9</v>
      </c>
      <c r="I10" s="981">
        <v>42</v>
      </c>
      <c r="J10" s="981">
        <v>27</v>
      </c>
      <c r="K10" s="981">
        <v>119</v>
      </c>
    </row>
  </sheetData>
  <mergeCells count="1">
    <mergeCell ref="A2:B2"/>
  </mergeCells>
  <pageMargins left="0.7" right="0.7" top="0.75" bottom="0.75" header="0.3" footer="0.3"/>
  <pageSetup paperSize="9" fitToHeight="5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L40"/>
  <sheetViews>
    <sheetView zoomScale="85" zoomScaleNormal="85" workbookViewId="0">
      <pane ySplit="4" topLeftCell="A5" activePane="bottomLeft" state="frozen"/>
      <selection activeCell="A5" sqref="A5"/>
      <selection pane="bottomLeft"/>
    </sheetView>
  </sheetViews>
  <sheetFormatPr defaultRowHeight="15" x14ac:dyDescent="0.25"/>
  <sheetData>
    <row r="1" spans="1:12" ht="15.75" x14ac:dyDescent="0.25">
      <c r="A1" s="982" t="s">
        <v>927</v>
      </c>
    </row>
    <row r="2" spans="1:12" x14ac:dyDescent="0.25">
      <c r="A2" s="1047">
        <v>43700</v>
      </c>
      <c r="B2" s="1048"/>
    </row>
    <row r="4" spans="1:12" x14ac:dyDescent="0.25">
      <c r="A4" s="980" t="s">
        <v>274</v>
      </c>
      <c r="B4" s="980" t="s">
        <v>894</v>
      </c>
      <c r="C4" s="980" t="s">
        <v>261</v>
      </c>
      <c r="D4" s="980" t="s">
        <v>916</v>
      </c>
      <c r="E4" s="980" t="s">
        <v>26</v>
      </c>
      <c r="F4" s="980" t="s">
        <v>213</v>
      </c>
      <c r="G4" s="980" t="s">
        <v>84</v>
      </c>
      <c r="H4" s="980" t="s">
        <v>90</v>
      </c>
      <c r="I4" s="980" t="s">
        <v>86</v>
      </c>
      <c r="J4" s="980" t="s">
        <v>322</v>
      </c>
      <c r="K4" s="980" t="s">
        <v>323</v>
      </c>
      <c r="L4" s="980" t="s">
        <v>101</v>
      </c>
    </row>
    <row r="5" spans="1:12" x14ac:dyDescent="0.25">
      <c r="A5" s="981" t="s">
        <v>207</v>
      </c>
      <c r="B5" s="981" t="s">
        <v>253</v>
      </c>
      <c r="C5" s="981"/>
      <c r="D5" s="981" t="s">
        <v>286</v>
      </c>
      <c r="E5" s="981">
        <v>584</v>
      </c>
      <c r="F5" s="981"/>
      <c r="G5" s="981">
        <v>14</v>
      </c>
      <c r="H5" s="981">
        <v>10.8</v>
      </c>
      <c r="I5" s="981">
        <v>20.8</v>
      </c>
      <c r="J5" s="981">
        <v>204.10000000000002</v>
      </c>
      <c r="K5" s="981">
        <v>153.1</v>
      </c>
      <c r="L5" s="981">
        <v>181.2</v>
      </c>
    </row>
    <row r="6" spans="1:12" x14ac:dyDescent="0.25">
      <c r="A6" s="981" t="s">
        <v>207</v>
      </c>
      <c r="B6" s="981" t="s">
        <v>253</v>
      </c>
      <c r="C6" s="981"/>
      <c r="D6" s="981" t="s">
        <v>176</v>
      </c>
      <c r="E6" s="981">
        <v>325.2</v>
      </c>
      <c r="F6" s="981"/>
      <c r="G6" s="981">
        <v>4</v>
      </c>
      <c r="H6" s="981">
        <v>4</v>
      </c>
      <c r="I6" s="981">
        <v>8</v>
      </c>
      <c r="J6" s="981">
        <v>102.4</v>
      </c>
      <c r="K6" s="981">
        <v>100.5</v>
      </c>
      <c r="L6" s="981">
        <v>106.3</v>
      </c>
    </row>
    <row r="7" spans="1:12" x14ac:dyDescent="0.25">
      <c r="A7" s="981" t="s">
        <v>207</v>
      </c>
      <c r="B7" s="981" t="s">
        <v>253</v>
      </c>
      <c r="C7" s="981"/>
      <c r="D7" s="981" t="s">
        <v>177</v>
      </c>
      <c r="E7" s="981">
        <v>137.1</v>
      </c>
      <c r="F7" s="981"/>
      <c r="G7" s="981">
        <v>6</v>
      </c>
      <c r="H7" s="981">
        <v>2</v>
      </c>
      <c r="I7" s="981">
        <v>7</v>
      </c>
      <c r="J7" s="981">
        <v>44.7</v>
      </c>
      <c r="K7" s="981">
        <v>36.700000000000003</v>
      </c>
      <c r="L7" s="981">
        <v>40.699999999999996</v>
      </c>
    </row>
    <row r="8" spans="1:12" x14ac:dyDescent="0.25">
      <c r="A8" s="981" t="s">
        <v>207</v>
      </c>
      <c r="B8" s="981" t="s">
        <v>253</v>
      </c>
      <c r="C8" s="981"/>
      <c r="D8" s="981" t="s">
        <v>175</v>
      </c>
      <c r="E8" s="981">
        <v>121.7</v>
      </c>
      <c r="F8" s="981"/>
      <c r="G8" s="981">
        <v>4</v>
      </c>
      <c r="H8" s="981">
        <v>4.8</v>
      </c>
      <c r="I8" s="981">
        <v>5.8</v>
      </c>
      <c r="J8" s="981">
        <v>57</v>
      </c>
      <c r="K8" s="981">
        <v>15.899999999999999</v>
      </c>
      <c r="L8" s="981">
        <v>34.200000000000003</v>
      </c>
    </row>
    <row r="9" spans="1:12" x14ac:dyDescent="0.25">
      <c r="A9" s="981" t="s">
        <v>207</v>
      </c>
      <c r="B9" s="981" t="s">
        <v>254</v>
      </c>
      <c r="C9" s="981"/>
      <c r="D9" s="981" t="s">
        <v>263</v>
      </c>
      <c r="E9" s="981">
        <v>227.3</v>
      </c>
      <c r="F9" s="981"/>
      <c r="G9" s="981">
        <v>55.7</v>
      </c>
      <c r="H9" s="981">
        <v>9</v>
      </c>
      <c r="I9" s="981">
        <v>21.5</v>
      </c>
      <c r="J9" s="981">
        <v>52.3</v>
      </c>
      <c r="K9" s="981">
        <v>46.4</v>
      </c>
      <c r="L9" s="981">
        <v>42.4</v>
      </c>
    </row>
    <row r="10" spans="1:12" x14ac:dyDescent="0.25">
      <c r="A10" s="981" t="s">
        <v>207</v>
      </c>
      <c r="B10" s="981" t="s">
        <v>26</v>
      </c>
      <c r="C10" s="981"/>
      <c r="D10" s="981" t="s">
        <v>263</v>
      </c>
      <c r="E10" s="981">
        <v>811.3</v>
      </c>
      <c r="F10" s="981"/>
      <c r="G10" s="981">
        <v>69.7</v>
      </c>
      <c r="H10" s="981">
        <v>19.8</v>
      </c>
      <c r="I10" s="981">
        <v>42.3</v>
      </c>
      <c r="J10" s="981">
        <v>256.40000000000003</v>
      </c>
      <c r="K10" s="981">
        <v>199.5</v>
      </c>
      <c r="L10" s="981">
        <v>223.6</v>
      </c>
    </row>
    <row r="11" spans="1:12" x14ac:dyDescent="0.25">
      <c r="A11" s="981" t="s">
        <v>206</v>
      </c>
      <c r="B11" s="981" t="s">
        <v>253</v>
      </c>
      <c r="C11" s="981"/>
      <c r="D11" s="981" t="s">
        <v>286</v>
      </c>
      <c r="E11" s="981">
        <v>520.51</v>
      </c>
      <c r="F11" s="981"/>
      <c r="G11" s="981">
        <v>9</v>
      </c>
      <c r="H11" s="981">
        <v>23</v>
      </c>
      <c r="I11" s="981">
        <v>30.189999999999998</v>
      </c>
      <c r="J11" s="981">
        <v>217.87</v>
      </c>
      <c r="K11" s="981">
        <v>126.97999999999996</v>
      </c>
      <c r="L11" s="981">
        <v>113.47000000000003</v>
      </c>
    </row>
    <row r="12" spans="1:12" x14ac:dyDescent="0.25">
      <c r="A12" s="981" t="s">
        <v>206</v>
      </c>
      <c r="B12" s="981" t="s">
        <v>253</v>
      </c>
      <c r="C12" s="981"/>
      <c r="D12" s="981" t="s">
        <v>176</v>
      </c>
      <c r="E12" s="981">
        <v>276.51</v>
      </c>
      <c r="F12" s="981"/>
      <c r="G12" s="981">
        <v>3</v>
      </c>
      <c r="H12" s="981">
        <v>9</v>
      </c>
      <c r="I12" s="981">
        <v>13.36</v>
      </c>
      <c r="J12" s="981">
        <v>108.52999999999999</v>
      </c>
      <c r="K12" s="981">
        <v>75.46999999999997</v>
      </c>
      <c r="L12" s="981">
        <v>67.15000000000002</v>
      </c>
    </row>
    <row r="13" spans="1:12" x14ac:dyDescent="0.25">
      <c r="A13" s="981" t="s">
        <v>206</v>
      </c>
      <c r="B13" s="981" t="s">
        <v>253</v>
      </c>
      <c r="C13" s="981"/>
      <c r="D13" s="981" t="s">
        <v>177</v>
      </c>
      <c r="E13" s="981">
        <v>128.35</v>
      </c>
      <c r="F13" s="981"/>
      <c r="G13" s="981">
        <v>3</v>
      </c>
      <c r="H13" s="981">
        <v>7</v>
      </c>
      <c r="I13" s="981">
        <v>11</v>
      </c>
      <c r="J13" s="981">
        <v>46.7</v>
      </c>
      <c r="K13" s="981">
        <v>36.069999999999986</v>
      </c>
      <c r="L13" s="981">
        <v>24.580000000000005</v>
      </c>
    </row>
    <row r="14" spans="1:12" x14ac:dyDescent="0.25">
      <c r="A14" s="981" t="s">
        <v>206</v>
      </c>
      <c r="B14" s="981" t="s">
        <v>253</v>
      </c>
      <c r="C14" s="981"/>
      <c r="D14" s="981" t="s">
        <v>175</v>
      </c>
      <c r="E14" s="981">
        <v>115.65</v>
      </c>
      <c r="F14" s="981"/>
      <c r="G14" s="981">
        <v>3</v>
      </c>
      <c r="H14" s="981">
        <v>7</v>
      </c>
      <c r="I14" s="981">
        <v>5.83</v>
      </c>
      <c r="J14" s="981">
        <v>62.64</v>
      </c>
      <c r="K14" s="981">
        <v>15.44</v>
      </c>
      <c r="L14" s="981">
        <v>21.74</v>
      </c>
    </row>
    <row r="15" spans="1:12" x14ac:dyDescent="0.25">
      <c r="A15" s="981" t="s">
        <v>206</v>
      </c>
      <c r="B15" s="981" t="s">
        <v>254</v>
      </c>
      <c r="C15" s="981"/>
      <c r="D15" s="981" t="s">
        <v>263</v>
      </c>
      <c r="E15" s="981">
        <v>223.45000000000002</v>
      </c>
      <c r="F15" s="981">
        <v>2</v>
      </c>
      <c r="G15" s="981">
        <v>34.99</v>
      </c>
      <c r="H15" s="981">
        <v>12.9</v>
      </c>
      <c r="I15" s="981">
        <v>25.28</v>
      </c>
      <c r="J15" s="981">
        <v>109.36000000000001</v>
      </c>
      <c r="K15" s="981">
        <v>0</v>
      </c>
      <c r="L15" s="981">
        <v>38.92</v>
      </c>
    </row>
    <row r="16" spans="1:12" x14ac:dyDescent="0.25">
      <c r="A16" s="981" t="s">
        <v>206</v>
      </c>
      <c r="B16" s="981" t="s">
        <v>26</v>
      </c>
      <c r="C16" s="981"/>
      <c r="D16" s="981" t="s">
        <v>263</v>
      </c>
      <c r="E16" s="981">
        <v>743.95999999999992</v>
      </c>
      <c r="F16" s="981">
        <v>2</v>
      </c>
      <c r="G16" s="981">
        <v>43.99</v>
      </c>
      <c r="H16" s="981">
        <v>35.9</v>
      </c>
      <c r="I16" s="981">
        <v>55.47</v>
      </c>
      <c r="J16" s="981">
        <v>327.22999999999996</v>
      </c>
      <c r="K16" s="981">
        <v>126.98</v>
      </c>
      <c r="L16" s="981">
        <v>152.39000000000001</v>
      </c>
    </row>
    <row r="17" spans="1:12" x14ac:dyDescent="0.25">
      <c r="A17" s="981" t="s">
        <v>205</v>
      </c>
      <c r="B17" s="981" t="s">
        <v>253</v>
      </c>
      <c r="C17" s="981"/>
      <c r="D17" s="981" t="s">
        <v>286</v>
      </c>
      <c r="E17" s="981">
        <v>426.39114285714288</v>
      </c>
      <c r="F17" s="981"/>
      <c r="G17" s="981">
        <v>8</v>
      </c>
      <c r="H17" s="981">
        <v>21.6</v>
      </c>
      <c r="I17" s="981">
        <v>36.428571428571431</v>
      </c>
      <c r="J17" s="981">
        <v>190.97</v>
      </c>
      <c r="K17" s="981">
        <v>109.34542857142856</v>
      </c>
      <c r="L17" s="981">
        <v>60.047142857142852</v>
      </c>
    </row>
    <row r="18" spans="1:12" x14ac:dyDescent="0.25">
      <c r="A18" s="981" t="s">
        <v>205</v>
      </c>
      <c r="B18" s="981" t="s">
        <v>253</v>
      </c>
      <c r="C18" s="981"/>
      <c r="D18" s="981" t="s">
        <v>176</v>
      </c>
      <c r="E18" s="981">
        <v>219.71714285714287</v>
      </c>
      <c r="F18" s="981"/>
      <c r="G18" s="981">
        <v>2</v>
      </c>
      <c r="H18" s="981">
        <v>9.6</v>
      </c>
      <c r="I18" s="981">
        <v>14.685714285714285</v>
      </c>
      <c r="J18" s="981">
        <v>97.048571428571421</v>
      </c>
      <c r="K18" s="981">
        <v>61.014285714285712</v>
      </c>
      <c r="L18" s="981">
        <v>35.368571428571428</v>
      </c>
    </row>
    <row r="19" spans="1:12" x14ac:dyDescent="0.25">
      <c r="A19" s="981" t="s">
        <v>205</v>
      </c>
      <c r="B19" s="981" t="s">
        <v>253</v>
      </c>
      <c r="C19" s="981"/>
      <c r="D19" s="981" t="s">
        <v>177</v>
      </c>
      <c r="E19" s="981">
        <v>95.721428571428561</v>
      </c>
      <c r="F19" s="981"/>
      <c r="G19" s="981">
        <v>3</v>
      </c>
      <c r="H19" s="981">
        <v>5</v>
      </c>
      <c r="I19" s="981">
        <v>11.528571428571428</v>
      </c>
      <c r="J19" s="981">
        <v>33.935714285714283</v>
      </c>
      <c r="K19" s="981">
        <v>32.164285714285711</v>
      </c>
      <c r="L19" s="981">
        <v>10.092857142857142</v>
      </c>
    </row>
    <row r="20" spans="1:12" x14ac:dyDescent="0.25">
      <c r="A20" s="981" t="s">
        <v>205</v>
      </c>
      <c r="B20" s="981" t="s">
        <v>253</v>
      </c>
      <c r="C20" s="981"/>
      <c r="D20" s="981" t="s">
        <v>175</v>
      </c>
      <c r="E20" s="981">
        <v>110.95257142857143</v>
      </c>
      <c r="F20" s="981"/>
      <c r="G20" s="981">
        <v>3</v>
      </c>
      <c r="H20" s="981">
        <v>7</v>
      </c>
      <c r="I20" s="981">
        <v>10.214285714285715</v>
      </c>
      <c r="J20" s="981">
        <v>59.985714285714288</v>
      </c>
      <c r="K20" s="981">
        <v>16.166857142857143</v>
      </c>
      <c r="L20" s="981">
        <v>14.585714285714284</v>
      </c>
    </row>
    <row r="21" spans="1:12" x14ac:dyDescent="0.25">
      <c r="A21" s="981" t="s">
        <v>205</v>
      </c>
      <c r="B21" s="981" t="s">
        <v>254</v>
      </c>
      <c r="C21" s="981"/>
      <c r="D21" s="981" t="s">
        <v>263</v>
      </c>
      <c r="E21" s="981">
        <v>276.74971428571428</v>
      </c>
      <c r="F21" s="981">
        <v>3</v>
      </c>
      <c r="G21" s="981">
        <v>32</v>
      </c>
      <c r="H21" s="981">
        <v>11.709428571428571</v>
      </c>
      <c r="I21" s="981">
        <v>34.285714285714285</v>
      </c>
      <c r="J21" s="981">
        <v>106.63857142857142</v>
      </c>
      <c r="K21" s="981">
        <v>3.8905714285714286</v>
      </c>
      <c r="L21" s="981">
        <v>85</v>
      </c>
    </row>
    <row r="22" spans="1:12" x14ac:dyDescent="0.25">
      <c r="A22" s="981" t="s">
        <v>205</v>
      </c>
      <c r="B22" s="981" t="s">
        <v>26</v>
      </c>
      <c r="C22" s="981"/>
      <c r="D22" s="981" t="s">
        <v>263</v>
      </c>
      <c r="E22" s="981">
        <v>718.56228571428574</v>
      </c>
      <c r="F22" s="981">
        <v>3</v>
      </c>
      <c r="G22" s="981">
        <v>40</v>
      </c>
      <c r="H22" s="981">
        <v>33.309428571428569</v>
      </c>
      <c r="I22" s="981">
        <v>70.714285714285722</v>
      </c>
      <c r="J22" s="981">
        <v>303.60857142857139</v>
      </c>
      <c r="K22" s="981">
        <v>122.20028571428574</v>
      </c>
      <c r="L22" s="981">
        <v>146</v>
      </c>
    </row>
    <row r="23" spans="1:12" x14ac:dyDescent="0.25">
      <c r="A23" s="981" t="s">
        <v>278</v>
      </c>
      <c r="B23" s="981" t="s">
        <v>253</v>
      </c>
      <c r="C23" s="981"/>
      <c r="D23" s="981" t="s">
        <v>286</v>
      </c>
      <c r="E23" s="981">
        <v>486</v>
      </c>
      <c r="F23" s="981"/>
      <c r="G23" s="981">
        <v>8</v>
      </c>
      <c r="H23" s="981">
        <v>21</v>
      </c>
      <c r="I23" s="981">
        <v>37</v>
      </c>
      <c r="J23" s="981">
        <v>231</v>
      </c>
      <c r="K23" s="981">
        <v>104</v>
      </c>
      <c r="L23" s="981">
        <v>81</v>
      </c>
    </row>
    <row r="24" spans="1:12" x14ac:dyDescent="0.25">
      <c r="A24" s="981" t="s">
        <v>278</v>
      </c>
      <c r="B24" s="981" t="s">
        <v>253</v>
      </c>
      <c r="C24" s="981"/>
      <c r="D24" s="981" t="s">
        <v>176</v>
      </c>
      <c r="E24" s="981">
        <v>248</v>
      </c>
      <c r="F24" s="981"/>
      <c r="G24" s="981">
        <v>2</v>
      </c>
      <c r="H24" s="981">
        <v>9</v>
      </c>
      <c r="I24" s="981">
        <v>14</v>
      </c>
      <c r="J24" s="981">
        <v>114</v>
      </c>
      <c r="K24" s="981">
        <v>64</v>
      </c>
      <c r="L24" s="981">
        <v>43</v>
      </c>
    </row>
    <row r="25" spans="1:12" x14ac:dyDescent="0.25">
      <c r="A25" s="981" t="s">
        <v>278</v>
      </c>
      <c r="B25" s="981" t="s">
        <v>253</v>
      </c>
      <c r="C25" s="981"/>
      <c r="D25" s="981" t="s">
        <v>177</v>
      </c>
      <c r="E25" s="981">
        <v>113</v>
      </c>
      <c r="F25" s="981"/>
      <c r="G25" s="981">
        <v>3</v>
      </c>
      <c r="H25" s="981">
        <v>5</v>
      </c>
      <c r="I25" s="981">
        <v>12</v>
      </c>
      <c r="J25" s="981">
        <v>47</v>
      </c>
      <c r="K25" s="981">
        <v>29</v>
      </c>
      <c r="L25" s="981">
        <v>16</v>
      </c>
    </row>
    <row r="26" spans="1:12" x14ac:dyDescent="0.25">
      <c r="A26" s="981" t="s">
        <v>278</v>
      </c>
      <c r="B26" s="981" t="s">
        <v>253</v>
      </c>
      <c r="C26" s="981"/>
      <c r="D26" s="981" t="s">
        <v>175</v>
      </c>
      <c r="E26" s="981">
        <v>124</v>
      </c>
      <c r="F26" s="981"/>
      <c r="G26" s="981">
        <v>3</v>
      </c>
      <c r="H26" s="981">
        <v>7</v>
      </c>
      <c r="I26" s="981">
        <v>11</v>
      </c>
      <c r="J26" s="981">
        <v>70</v>
      </c>
      <c r="K26" s="981">
        <v>11</v>
      </c>
      <c r="L26" s="981">
        <v>21</v>
      </c>
    </row>
    <row r="27" spans="1:12" x14ac:dyDescent="0.25">
      <c r="A27" s="981" t="s">
        <v>278</v>
      </c>
      <c r="B27" s="981" t="s">
        <v>254</v>
      </c>
      <c r="C27" s="981"/>
      <c r="D27" s="981" t="s">
        <v>263</v>
      </c>
      <c r="E27" s="981">
        <v>250</v>
      </c>
      <c r="F27" s="981">
        <v>3</v>
      </c>
      <c r="G27" s="981">
        <v>34</v>
      </c>
      <c r="H27" s="981">
        <v>12</v>
      </c>
      <c r="I27" s="981">
        <v>36</v>
      </c>
      <c r="J27" s="981">
        <v>100</v>
      </c>
      <c r="K27" s="981">
        <v>5</v>
      </c>
      <c r="L27" s="981">
        <v>58</v>
      </c>
    </row>
    <row r="28" spans="1:12" x14ac:dyDescent="0.25">
      <c r="A28" s="981" t="s">
        <v>278</v>
      </c>
      <c r="B28" s="981" t="s">
        <v>26</v>
      </c>
      <c r="C28" s="981"/>
      <c r="D28" s="981" t="s">
        <v>263</v>
      </c>
      <c r="E28" s="981">
        <v>745</v>
      </c>
      <c r="F28" s="981">
        <v>3</v>
      </c>
      <c r="G28" s="981">
        <v>42</v>
      </c>
      <c r="H28" s="981">
        <v>33</v>
      </c>
      <c r="I28" s="981">
        <v>74</v>
      </c>
      <c r="J28" s="981">
        <v>334</v>
      </c>
      <c r="K28" s="981">
        <v>115</v>
      </c>
      <c r="L28" s="981">
        <v>140</v>
      </c>
    </row>
    <row r="29" spans="1:12" x14ac:dyDescent="0.25">
      <c r="A29" s="981" t="s">
        <v>259</v>
      </c>
      <c r="B29" s="981" t="s">
        <v>253</v>
      </c>
      <c r="C29" s="981"/>
      <c r="D29" s="981" t="s">
        <v>286</v>
      </c>
      <c r="E29" s="981">
        <v>499</v>
      </c>
      <c r="F29" s="981"/>
      <c r="G29" s="981">
        <v>8</v>
      </c>
      <c r="H29" s="981">
        <v>20</v>
      </c>
      <c r="I29" s="981">
        <v>35</v>
      </c>
      <c r="J29" s="981">
        <v>250</v>
      </c>
      <c r="K29" s="981">
        <v>106</v>
      </c>
      <c r="L29" s="981">
        <v>79</v>
      </c>
    </row>
    <row r="30" spans="1:12" x14ac:dyDescent="0.25">
      <c r="A30" s="981" t="s">
        <v>259</v>
      </c>
      <c r="B30" s="981" t="s">
        <v>253</v>
      </c>
      <c r="C30" s="981"/>
      <c r="D30" s="981" t="s">
        <v>176</v>
      </c>
      <c r="E30" s="981">
        <v>260</v>
      </c>
      <c r="F30" s="981"/>
      <c r="G30" s="981">
        <v>2</v>
      </c>
      <c r="H30" s="981">
        <v>9</v>
      </c>
      <c r="I30" s="981">
        <v>15</v>
      </c>
      <c r="J30" s="981">
        <v>128</v>
      </c>
      <c r="K30" s="981">
        <v>63</v>
      </c>
      <c r="L30" s="981">
        <v>43</v>
      </c>
    </row>
    <row r="31" spans="1:12" x14ac:dyDescent="0.25">
      <c r="A31" s="981" t="s">
        <v>259</v>
      </c>
      <c r="B31" s="981" t="s">
        <v>253</v>
      </c>
      <c r="C31" s="981"/>
      <c r="D31" s="981" t="s">
        <v>177</v>
      </c>
      <c r="E31" s="981">
        <v>105</v>
      </c>
      <c r="F31" s="981"/>
      <c r="G31" s="981">
        <v>3</v>
      </c>
      <c r="H31" s="981">
        <v>3</v>
      </c>
      <c r="I31" s="981">
        <v>10</v>
      </c>
      <c r="J31" s="981">
        <v>44</v>
      </c>
      <c r="K31" s="981">
        <v>30</v>
      </c>
      <c r="L31" s="981">
        <v>16</v>
      </c>
    </row>
    <row r="32" spans="1:12" x14ac:dyDescent="0.25">
      <c r="A32" s="981" t="s">
        <v>259</v>
      </c>
      <c r="B32" s="981" t="s">
        <v>253</v>
      </c>
      <c r="C32" s="981"/>
      <c r="D32" s="981" t="s">
        <v>175</v>
      </c>
      <c r="E32" s="981">
        <v>133</v>
      </c>
      <c r="F32" s="981"/>
      <c r="G32" s="981">
        <v>3</v>
      </c>
      <c r="H32" s="981">
        <v>8</v>
      </c>
      <c r="I32" s="981">
        <v>10</v>
      </c>
      <c r="J32" s="981">
        <v>78</v>
      </c>
      <c r="K32" s="981">
        <v>13</v>
      </c>
      <c r="L32" s="981">
        <v>20</v>
      </c>
    </row>
    <row r="33" spans="1:12" x14ac:dyDescent="0.25">
      <c r="A33" s="981" t="s">
        <v>259</v>
      </c>
      <c r="B33" s="981" t="s">
        <v>254</v>
      </c>
      <c r="C33" s="981"/>
      <c r="D33" s="981" t="s">
        <v>263</v>
      </c>
      <c r="E33" s="981">
        <v>260</v>
      </c>
      <c r="F33" s="981">
        <v>2</v>
      </c>
      <c r="G33" s="981">
        <v>42</v>
      </c>
      <c r="H33" s="981">
        <v>11</v>
      </c>
      <c r="I33" s="981">
        <v>40</v>
      </c>
      <c r="J33" s="981">
        <v>105</v>
      </c>
      <c r="K33" s="981">
        <v>4</v>
      </c>
      <c r="L33" s="981">
        <v>56</v>
      </c>
    </row>
    <row r="34" spans="1:12" x14ac:dyDescent="0.25">
      <c r="A34" s="981" t="s">
        <v>259</v>
      </c>
      <c r="B34" s="981" t="s">
        <v>26</v>
      </c>
      <c r="C34" s="981"/>
      <c r="D34" s="981" t="s">
        <v>263</v>
      </c>
      <c r="E34" s="981">
        <v>759</v>
      </c>
      <c r="F34" s="981">
        <v>2</v>
      </c>
      <c r="G34" s="981">
        <v>50</v>
      </c>
      <c r="H34" s="981">
        <v>31</v>
      </c>
      <c r="I34" s="981">
        <v>76</v>
      </c>
      <c r="J34" s="981">
        <v>355</v>
      </c>
      <c r="K34" s="981">
        <v>110</v>
      </c>
      <c r="L34" s="981">
        <v>135</v>
      </c>
    </row>
    <row r="35" spans="1:12" x14ac:dyDescent="0.25">
      <c r="A35" s="981" t="s">
        <v>258</v>
      </c>
      <c r="B35" s="981" t="s">
        <v>253</v>
      </c>
      <c r="C35" s="981"/>
      <c r="D35" s="981" t="s">
        <v>286</v>
      </c>
      <c r="E35" s="981">
        <v>455</v>
      </c>
      <c r="F35" s="981"/>
      <c r="G35" s="981">
        <v>7</v>
      </c>
      <c r="H35" s="981">
        <v>22</v>
      </c>
      <c r="I35" s="981">
        <v>34</v>
      </c>
      <c r="J35" s="981">
        <v>250</v>
      </c>
      <c r="K35" s="981">
        <v>58</v>
      </c>
      <c r="L35" s="981">
        <v>83</v>
      </c>
    </row>
    <row r="36" spans="1:12" x14ac:dyDescent="0.25">
      <c r="A36" s="981" t="s">
        <v>258</v>
      </c>
      <c r="B36" s="981" t="s">
        <v>253</v>
      </c>
      <c r="C36" s="981"/>
      <c r="D36" s="981" t="s">
        <v>176</v>
      </c>
      <c r="E36" s="981">
        <v>225</v>
      </c>
      <c r="F36" s="981"/>
      <c r="G36" s="981">
        <v>2</v>
      </c>
      <c r="H36" s="981">
        <v>9</v>
      </c>
      <c r="I36" s="981">
        <v>15</v>
      </c>
      <c r="J36" s="981">
        <v>128</v>
      </c>
      <c r="K36" s="981">
        <v>25</v>
      </c>
      <c r="L36" s="981">
        <v>46</v>
      </c>
    </row>
    <row r="37" spans="1:12" x14ac:dyDescent="0.25">
      <c r="A37" s="981" t="s">
        <v>258</v>
      </c>
      <c r="B37" s="981" t="s">
        <v>253</v>
      </c>
      <c r="C37" s="981"/>
      <c r="D37" s="981" t="s">
        <v>177</v>
      </c>
      <c r="E37" s="981">
        <v>97</v>
      </c>
      <c r="F37" s="981"/>
      <c r="G37" s="981">
        <v>2</v>
      </c>
      <c r="H37" s="981">
        <v>4</v>
      </c>
      <c r="I37" s="981">
        <v>10</v>
      </c>
      <c r="J37" s="981">
        <v>48</v>
      </c>
      <c r="K37" s="981">
        <v>16</v>
      </c>
      <c r="L37" s="981">
        <v>17</v>
      </c>
    </row>
    <row r="38" spans="1:12" x14ac:dyDescent="0.25">
      <c r="A38" s="981" t="s">
        <v>258</v>
      </c>
      <c r="B38" s="981" t="s">
        <v>253</v>
      </c>
      <c r="C38" s="981"/>
      <c r="D38" s="981" t="s">
        <v>175</v>
      </c>
      <c r="E38" s="981">
        <v>133</v>
      </c>
      <c r="F38" s="981"/>
      <c r="G38" s="981">
        <v>3</v>
      </c>
      <c r="H38" s="981">
        <v>9</v>
      </c>
      <c r="I38" s="981">
        <v>10</v>
      </c>
      <c r="J38" s="981">
        <v>74</v>
      </c>
      <c r="K38" s="981">
        <v>16</v>
      </c>
      <c r="L38" s="981">
        <v>20</v>
      </c>
    </row>
    <row r="39" spans="1:12" x14ac:dyDescent="0.25">
      <c r="A39" s="981" t="s">
        <v>258</v>
      </c>
      <c r="B39" s="981" t="s">
        <v>254</v>
      </c>
      <c r="C39" s="981"/>
      <c r="D39" s="981" t="s">
        <v>263</v>
      </c>
      <c r="E39" s="981">
        <v>291</v>
      </c>
      <c r="F39" s="981">
        <v>3</v>
      </c>
      <c r="G39" s="981">
        <v>42</v>
      </c>
      <c r="H39" s="981">
        <v>12</v>
      </c>
      <c r="I39" s="981">
        <v>46</v>
      </c>
      <c r="J39" s="981">
        <v>125</v>
      </c>
      <c r="K39" s="981">
        <v>1</v>
      </c>
      <c r="L39" s="981">
        <v>62</v>
      </c>
    </row>
    <row r="40" spans="1:12" x14ac:dyDescent="0.25">
      <c r="A40" s="981" t="s">
        <v>258</v>
      </c>
      <c r="B40" s="981" t="s">
        <v>26</v>
      </c>
      <c r="C40" s="981"/>
      <c r="D40" s="981" t="s">
        <v>263</v>
      </c>
      <c r="E40" s="981">
        <v>746</v>
      </c>
      <c r="F40" s="981">
        <v>3</v>
      </c>
      <c r="G40" s="981">
        <v>49</v>
      </c>
      <c r="H40" s="981">
        <v>34</v>
      </c>
      <c r="I40" s="981">
        <v>80</v>
      </c>
      <c r="J40" s="981">
        <v>376</v>
      </c>
      <c r="K40" s="981">
        <v>59</v>
      </c>
      <c r="L40" s="981">
        <v>145</v>
      </c>
    </row>
  </sheetData>
  <mergeCells count="1">
    <mergeCell ref="A2:B2"/>
  </mergeCells>
  <pageMargins left="0.7" right="0.7" top="0.75" bottom="0.75" header="0.3" footer="0.3"/>
  <pageSetup paperSize="9" fitToHeight="50"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K12"/>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1" spans="1:11" ht="15.75" x14ac:dyDescent="0.25">
      <c r="A1" s="982" t="s">
        <v>938</v>
      </c>
    </row>
    <row r="2" spans="1:11" x14ac:dyDescent="0.25">
      <c r="A2" s="1047">
        <v>43700</v>
      </c>
      <c r="B2" s="1048"/>
    </row>
    <row r="4" spans="1:11" x14ac:dyDescent="0.25">
      <c r="A4" s="980" t="s">
        <v>249</v>
      </c>
      <c r="B4" s="980" t="s">
        <v>928</v>
      </c>
      <c r="C4" s="980" t="s">
        <v>929</v>
      </c>
      <c r="D4" s="980" t="s">
        <v>930</v>
      </c>
      <c r="E4" s="980" t="s">
        <v>931</v>
      </c>
      <c r="F4" s="980" t="s">
        <v>932</v>
      </c>
      <c r="G4" s="980" t="s">
        <v>933</v>
      </c>
      <c r="H4" s="980" t="s">
        <v>934</v>
      </c>
      <c r="I4" s="980" t="s">
        <v>935</v>
      </c>
      <c r="J4" s="980" t="s">
        <v>936</v>
      </c>
      <c r="K4" s="980" t="s">
        <v>937</v>
      </c>
    </row>
    <row r="5" spans="1:11" x14ac:dyDescent="0.25">
      <c r="A5" s="981" t="s">
        <v>330</v>
      </c>
      <c r="B5" s="981">
        <v>148</v>
      </c>
      <c r="C5" s="981">
        <v>4011</v>
      </c>
      <c r="D5" s="981">
        <v>182</v>
      </c>
      <c r="E5" s="981">
        <v>2870</v>
      </c>
      <c r="F5" s="981">
        <v>202</v>
      </c>
      <c r="G5" s="981">
        <v>32</v>
      </c>
      <c r="H5" s="981">
        <v>649</v>
      </c>
      <c r="I5" s="981">
        <v>487</v>
      </c>
      <c r="J5" s="981">
        <v>59</v>
      </c>
      <c r="K5" s="981">
        <v>400</v>
      </c>
    </row>
    <row r="6" spans="1:11" x14ac:dyDescent="0.25">
      <c r="A6" s="981" t="s">
        <v>208</v>
      </c>
      <c r="B6" s="981">
        <v>158</v>
      </c>
      <c r="C6" s="981">
        <v>3993</v>
      </c>
      <c r="D6" s="981">
        <v>173</v>
      </c>
      <c r="E6" s="981">
        <v>2903</v>
      </c>
      <c r="F6" s="981">
        <v>203</v>
      </c>
      <c r="G6" s="981">
        <v>31</v>
      </c>
      <c r="H6" s="981">
        <v>604</v>
      </c>
      <c r="I6" s="981">
        <v>482</v>
      </c>
      <c r="J6" s="981">
        <v>52</v>
      </c>
      <c r="K6" s="981">
        <v>365</v>
      </c>
    </row>
    <row r="7" spans="1:11" x14ac:dyDescent="0.25">
      <c r="A7" s="981" t="s">
        <v>207</v>
      </c>
      <c r="B7" s="981">
        <v>159</v>
      </c>
      <c r="C7" s="981">
        <v>3842</v>
      </c>
      <c r="D7" s="981">
        <v>178</v>
      </c>
      <c r="E7" s="981">
        <v>2762</v>
      </c>
      <c r="F7" s="981">
        <v>199</v>
      </c>
      <c r="G7" s="981">
        <v>24</v>
      </c>
      <c r="H7" s="981">
        <v>545</v>
      </c>
      <c r="I7" s="981">
        <v>416</v>
      </c>
      <c r="J7" s="981">
        <v>52</v>
      </c>
      <c r="K7" s="981">
        <v>307</v>
      </c>
    </row>
    <row r="8" spans="1:11" x14ac:dyDescent="0.25">
      <c r="A8" s="981" t="s">
        <v>206</v>
      </c>
      <c r="B8" s="981">
        <v>164</v>
      </c>
      <c r="C8" s="981">
        <v>3692</v>
      </c>
      <c r="D8" s="981">
        <v>172</v>
      </c>
      <c r="E8" s="981">
        <v>2778</v>
      </c>
      <c r="F8" s="981">
        <v>192</v>
      </c>
      <c r="G8" s="981">
        <v>38</v>
      </c>
      <c r="H8" s="981">
        <v>480</v>
      </c>
      <c r="I8" s="981">
        <v>387</v>
      </c>
      <c r="J8" s="981">
        <v>56</v>
      </c>
      <c r="K8" s="981">
        <v>322</v>
      </c>
    </row>
    <row r="9" spans="1:11" x14ac:dyDescent="0.25">
      <c r="A9" s="981" t="s">
        <v>205</v>
      </c>
      <c r="B9" s="981">
        <v>167</v>
      </c>
      <c r="C9" s="981">
        <v>3523</v>
      </c>
      <c r="D9" s="981">
        <v>163</v>
      </c>
      <c r="E9" s="981">
        <v>2707</v>
      </c>
      <c r="F9" s="981">
        <v>171</v>
      </c>
      <c r="G9" s="981">
        <v>32</v>
      </c>
      <c r="H9" s="981">
        <v>463</v>
      </c>
      <c r="I9" s="981">
        <v>365</v>
      </c>
      <c r="J9" s="981">
        <v>56</v>
      </c>
      <c r="K9" s="981">
        <v>286</v>
      </c>
    </row>
    <row r="10" spans="1:11" x14ac:dyDescent="0.25">
      <c r="A10" s="981" t="s">
        <v>278</v>
      </c>
      <c r="B10" s="981">
        <v>178</v>
      </c>
      <c r="C10" s="981">
        <v>3467</v>
      </c>
      <c r="D10" s="981">
        <v>158</v>
      </c>
      <c r="E10" s="981">
        <v>2712</v>
      </c>
      <c r="F10" s="981">
        <v>139</v>
      </c>
      <c r="G10" s="981">
        <v>26</v>
      </c>
      <c r="H10" s="981">
        <v>466</v>
      </c>
      <c r="I10" s="981">
        <v>372</v>
      </c>
      <c r="J10" s="981">
        <v>48</v>
      </c>
      <c r="K10" s="981">
        <v>268</v>
      </c>
    </row>
    <row r="11" spans="1:11" x14ac:dyDescent="0.25">
      <c r="A11" s="981" t="s">
        <v>259</v>
      </c>
      <c r="B11" s="981">
        <v>175</v>
      </c>
      <c r="C11" s="981">
        <v>3371</v>
      </c>
      <c r="D11" s="981">
        <v>171</v>
      </c>
      <c r="E11" s="981">
        <v>2692</v>
      </c>
      <c r="F11" s="981">
        <v>158</v>
      </c>
      <c r="G11" s="981">
        <v>31</v>
      </c>
      <c r="H11" s="981">
        <v>476</v>
      </c>
      <c r="I11" s="981">
        <v>370</v>
      </c>
      <c r="J11" s="981">
        <v>55</v>
      </c>
      <c r="K11" s="981">
        <v>277</v>
      </c>
    </row>
    <row r="12" spans="1:11" x14ac:dyDescent="0.25">
      <c r="A12" s="981" t="s">
        <v>258</v>
      </c>
      <c r="B12" s="981">
        <v>196</v>
      </c>
      <c r="C12" s="981">
        <v>3441</v>
      </c>
      <c r="D12" s="981">
        <v>202</v>
      </c>
      <c r="E12" s="981">
        <v>2751</v>
      </c>
      <c r="F12" s="981">
        <v>172</v>
      </c>
      <c r="G12" s="981">
        <v>35</v>
      </c>
      <c r="H12" s="981">
        <v>427</v>
      </c>
      <c r="I12" s="981">
        <v>365</v>
      </c>
      <c r="J12" s="981">
        <v>54</v>
      </c>
      <c r="K12" s="981">
        <v>263</v>
      </c>
    </row>
  </sheetData>
  <mergeCells count="1">
    <mergeCell ref="A2:B2"/>
  </mergeCells>
  <pageMargins left="0.7" right="0.7" top="0.75" bottom="0.75" header="0.3" footer="0.3"/>
  <pageSetup paperSize="9" fitToHeight="5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D9B3FF"/>
    <pageSetUpPr fitToPage="1"/>
  </sheetPr>
  <dimension ref="A1:S29"/>
  <sheetViews>
    <sheetView showGridLines="0" workbookViewId="0">
      <pane ySplit="2" topLeftCell="A3" activePane="bottomLeft" state="frozen"/>
      <selection sqref="A1:C1"/>
      <selection pane="bottomLeft" sqref="A1:J1"/>
    </sheetView>
  </sheetViews>
  <sheetFormatPr defaultRowHeight="15" x14ac:dyDescent="0.25"/>
  <cols>
    <col min="1" max="1" width="17.85546875" customWidth="1"/>
    <col min="2" max="6" width="10.28515625" customWidth="1"/>
    <col min="7" max="7" width="14" customWidth="1"/>
    <col min="8" max="8" width="12.42578125" customWidth="1"/>
    <col min="9" max="9" width="10.42578125" customWidth="1"/>
    <col min="10" max="10" width="10.5703125" customWidth="1"/>
    <col min="11" max="11" width="11" customWidth="1"/>
    <col min="12" max="12" width="12.42578125" customWidth="1"/>
    <col min="13" max="13" width="11.5703125" customWidth="1"/>
    <col min="14" max="14" width="10.42578125" customWidth="1"/>
    <col min="15" max="15" width="10.85546875" customWidth="1"/>
    <col min="16" max="16" width="10.7109375" customWidth="1"/>
    <col min="18" max="18" width="10" customWidth="1"/>
  </cols>
  <sheetData>
    <row r="1" spans="1:19" ht="15.75" x14ac:dyDescent="0.25">
      <c r="A1" s="993" t="s">
        <v>682</v>
      </c>
      <c r="B1" s="993"/>
      <c r="C1" s="993"/>
      <c r="D1" s="993"/>
      <c r="E1" s="993"/>
      <c r="F1" s="993"/>
      <c r="G1" s="993"/>
      <c r="H1" s="993"/>
      <c r="I1" s="993"/>
      <c r="J1" s="993"/>
    </row>
    <row r="2" spans="1:19" ht="18" x14ac:dyDescent="0.25">
      <c r="A2" s="790" t="s">
        <v>598</v>
      </c>
      <c r="B2" s="1"/>
      <c r="C2" s="1"/>
      <c r="D2" s="1"/>
      <c r="E2" s="1"/>
      <c r="F2" s="1"/>
      <c r="G2" s="1"/>
      <c r="H2" s="1"/>
      <c r="I2" s="1"/>
      <c r="J2" s="1"/>
    </row>
    <row r="3" spans="1:19" ht="18" x14ac:dyDescent="0.25">
      <c r="A3" s="1"/>
      <c r="B3" s="1"/>
      <c r="C3" s="1"/>
      <c r="D3" s="1"/>
      <c r="E3" s="1"/>
      <c r="F3" s="1"/>
      <c r="G3" s="1"/>
      <c r="H3" s="1"/>
      <c r="I3" s="1"/>
      <c r="J3" s="1"/>
    </row>
    <row r="4" spans="1:19" ht="15.75" x14ac:dyDescent="0.25">
      <c r="A4" s="665" t="s">
        <v>683</v>
      </c>
      <c r="B4" s="665"/>
      <c r="C4" s="665"/>
      <c r="D4" s="665"/>
      <c r="E4" s="665"/>
      <c r="F4" s="665"/>
      <c r="G4" s="665"/>
      <c r="H4" s="665"/>
      <c r="I4" s="665"/>
      <c r="J4" s="665"/>
    </row>
    <row r="5" spans="1:19" x14ac:dyDescent="0.25">
      <c r="A5" t="s">
        <v>368</v>
      </c>
      <c r="B5" t="s">
        <v>746</v>
      </c>
    </row>
    <row r="6" spans="1:19" x14ac:dyDescent="0.25">
      <c r="A6" t="s">
        <v>369</v>
      </c>
      <c r="B6" t="s">
        <v>371</v>
      </c>
    </row>
    <row r="7" spans="1:19" x14ac:dyDescent="0.25">
      <c r="A7" t="s">
        <v>370</v>
      </c>
      <c r="B7" t="s">
        <v>372</v>
      </c>
    </row>
    <row r="9" spans="1:19" ht="30" customHeight="1" x14ac:dyDescent="0.25">
      <c r="A9" s="255"/>
      <c r="B9" s="165"/>
      <c r="C9" s="165"/>
      <c r="D9" s="165"/>
      <c r="E9" s="165"/>
      <c r="F9" s="165"/>
      <c r="G9" s="165"/>
      <c r="H9" s="165"/>
      <c r="I9" s="256" t="s">
        <v>216</v>
      </c>
      <c r="J9" s="234"/>
      <c r="K9" s="257"/>
      <c r="L9" s="257"/>
      <c r="M9" s="257"/>
      <c r="N9" s="479" t="s">
        <v>200</v>
      </c>
      <c r="O9" s="477"/>
      <c r="Q9" s="478"/>
      <c r="S9" s="615"/>
    </row>
    <row r="10" spans="1:19" ht="15.75" x14ac:dyDescent="0.25">
      <c r="A10" s="255"/>
      <c r="B10" s="176"/>
      <c r="C10" s="176"/>
      <c r="D10" s="176"/>
      <c r="F10" s="937" t="s">
        <v>193</v>
      </c>
      <c r="G10" s="165"/>
      <c r="H10" s="165"/>
      <c r="K10" s="947"/>
      <c r="L10" s="936"/>
      <c r="M10" s="936"/>
      <c r="N10" s="950"/>
      <c r="Q10" s="801"/>
      <c r="S10" s="801"/>
    </row>
    <row r="11" spans="1:19" ht="60.75" x14ac:dyDescent="0.25">
      <c r="A11" s="258" t="s">
        <v>1</v>
      </c>
      <c r="B11" s="259" t="s">
        <v>125</v>
      </c>
      <c r="C11" s="259" t="s">
        <v>192</v>
      </c>
      <c r="D11" s="259" t="s">
        <v>685</v>
      </c>
      <c r="E11" s="616" t="s">
        <v>217</v>
      </c>
      <c r="F11" s="259" t="s">
        <v>201</v>
      </c>
      <c r="G11" s="259" t="s">
        <v>202</v>
      </c>
      <c r="H11" s="618" t="s">
        <v>203</v>
      </c>
      <c r="I11" s="948" t="s">
        <v>684</v>
      </c>
      <c r="J11" s="956" t="s">
        <v>218</v>
      </c>
      <c r="K11" s="259" t="s">
        <v>126</v>
      </c>
      <c r="L11" s="259" t="s">
        <v>127</v>
      </c>
      <c r="M11" s="948" t="s">
        <v>686</v>
      </c>
      <c r="N11" s="949" t="s">
        <v>204</v>
      </c>
      <c r="S11" s="619"/>
    </row>
    <row r="12" spans="1:19" x14ac:dyDescent="0.25">
      <c r="A12" s="224" t="s">
        <v>208</v>
      </c>
      <c r="B12" s="167">
        <v>465</v>
      </c>
      <c r="C12" s="167">
        <v>28</v>
      </c>
      <c r="D12" s="167">
        <v>37</v>
      </c>
      <c r="E12" s="938">
        <v>22</v>
      </c>
      <c r="F12" s="167">
        <v>15</v>
      </c>
      <c r="G12" s="167">
        <v>30</v>
      </c>
      <c r="H12" s="167">
        <v>23</v>
      </c>
      <c r="I12" s="953">
        <f t="shared" ref="I12:I18" si="0">SUM(B12:H12)</f>
        <v>620</v>
      </c>
      <c r="J12" s="890"/>
      <c r="K12" s="942">
        <v>59</v>
      </c>
      <c r="L12" s="260">
        <v>31</v>
      </c>
      <c r="M12" s="955">
        <v>805</v>
      </c>
      <c r="N12" s="957">
        <f>I12+M12+K12+L12</f>
        <v>1515</v>
      </c>
      <c r="P12" s="546"/>
      <c r="S12" s="151"/>
    </row>
    <row r="13" spans="1:19" x14ac:dyDescent="0.25">
      <c r="A13" s="224" t="s">
        <v>207</v>
      </c>
      <c r="B13" s="79">
        <v>452</v>
      </c>
      <c r="C13" s="79">
        <v>31</v>
      </c>
      <c r="D13" s="79">
        <v>21</v>
      </c>
      <c r="E13" s="939"/>
      <c r="F13" s="79">
        <v>19</v>
      </c>
      <c r="G13" s="79">
        <v>29</v>
      </c>
      <c r="H13" s="79">
        <v>25</v>
      </c>
      <c r="I13" s="972">
        <f>SUM(B13:H13)</f>
        <v>577</v>
      </c>
      <c r="J13" s="890"/>
      <c r="K13" s="943">
        <v>65</v>
      </c>
      <c r="L13" s="261">
        <v>31</v>
      </c>
      <c r="M13" s="951">
        <v>628</v>
      </c>
      <c r="N13" s="958">
        <f t="shared" ref="N13:N15" si="1">I13+M13+K13+L13</f>
        <v>1301</v>
      </c>
      <c r="S13" s="151"/>
    </row>
    <row r="14" spans="1:19" x14ac:dyDescent="0.25">
      <c r="A14" s="224" t="s">
        <v>206</v>
      </c>
      <c r="B14" s="79">
        <v>449</v>
      </c>
      <c r="C14" s="79">
        <v>14</v>
      </c>
      <c r="D14" s="79">
        <v>23</v>
      </c>
      <c r="E14" s="940">
        <v>25</v>
      </c>
      <c r="F14" s="79">
        <v>16</v>
      </c>
      <c r="G14" s="79">
        <v>36</v>
      </c>
      <c r="H14" s="79">
        <v>24</v>
      </c>
      <c r="I14" s="617">
        <f t="shared" si="0"/>
        <v>587</v>
      </c>
      <c r="J14" s="890"/>
      <c r="K14" s="943">
        <v>85</v>
      </c>
      <c r="L14" s="261">
        <v>27</v>
      </c>
      <c r="M14" s="951">
        <v>875</v>
      </c>
      <c r="N14" s="958">
        <f t="shared" si="1"/>
        <v>1574</v>
      </c>
      <c r="S14" s="151"/>
    </row>
    <row r="15" spans="1:19" x14ac:dyDescent="0.25">
      <c r="A15" s="224" t="s">
        <v>205</v>
      </c>
      <c r="B15" s="79">
        <v>438</v>
      </c>
      <c r="C15" s="79">
        <v>12</v>
      </c>
      <c r="D15" s="973">
        <v>14</v>
      </c>
      <c r="E15" s="940">
        <v>24</v>
      </c>
      <c r="F15" s="79">
        <v>18</v>
      </c>
      <c r="G15" s="79">
        <v>39</v>
      </c>
      <c r="H15" s="79">
        <v>47</v>
      </c>
      <c r="I15" s="617">
        <f t="shared" si="0"/>
        <v>592</v>
      </c>
      <c r="J15" s="890"/>
      <c r="K15" s="943">
        <v>65</v>
      </c>
      <c r="L15" s="261">
        <v>42</v>
      </c>
      <c r="M15" s="951">
        <v>811</v>
      </c>
      <c r="N15" s="958">
        <f t="shared" si="1"/>
        <v>1510</v>
      </c>
      <c r="S15" s="151"/>
    </row>
    <row r="16" spans="1:19" x14ac:dyDescent="0.25">
      <c r="A16" s="224" t="str">
        <f>'h14'!A23</f>
        <v>2016-17</v>
      </c>
      <c r="B16" s="79">
        <f>'h14'!G23</f>
        <v>418</v>
      </c>
      <c r="C16" s="79">
        <f>'h14'!C23</f>
        <v>26</v>
      </c>
      <c r="D16" s="79">
        <f>'h14'!H23</f>
        <v>43</v>
      </c>
      <c r="E16" s="940">
        <f>'h14'!D23</f>
        <v>26</v>
      </c>
      <c r="F16" s="79">
        <f>'h14'!F23</f>
        <v>17</v>
      </c>
      <c r="G16" s="79">
        <f>'h14'!I23</f>
        <v>34</v>
      </c>
      <c r="H16" s="79">
        <f>'h14'!E23</f>
        <v>68</v>
      </c>
      <c r="I16" s="617">
        <f t="shared" si="0"/>
        <v>632</v>
      </c>
      <c r="J16" s="890"/>
      <c r="K16" s="944">
        <f>SUM('h14'!$J$23:$P$23)</f>
        <v>65</v>
      </c>
      <c r="L16" s="261">
        <f>SUM('h14'!$Q$23:$V$23)</f>
        <v>62</v>
      </c>
      <c r="M16" s="951">
        <f>('h14'!B7+'h14'!C7)-J16</f>
        <v>788</v>
      </c>
      <c r="N16" s="958">
        <f>GETPIVOTDATA("2017-18",'h14'!$A$4,"FinYear","2016-17")</f>
        <v>1547</v>
      </c>
      <c r="S16" s="151"/>
    </row>
    <row r="17" spans="1:19" x14ac:dyDescent="0.25">
      <c r="A17" s="224" t="str">
        <f>'h14'!A24</f>
        <v>2017-18</v>
      </c>
      <c r="B17" s="79">
        <f>'h14'!G24</f>
        <v>417</v>
      </c>
      <c r="C17" s="79">
        <f>'h14'!C24</f>
        <v>25</v>
      </c>
      <c r="D17" s="79">
        <f>'h14'!H24</f>
        <v>43</v>
      </c>
      <c r="E17" s="940">
        <f>'h14'!D24</f>
        <v>27</v>
      </c>
      <c r="F17" s="79">
        <f>'h14'!F24</f>
        <v>20</v>
      </c>
      <c r="G17" s="79">
        <f>'h14'!I24</f>
        <v>41</v>
      </c>
      <c r="H17" s="79">
        <f>'h14'!E24</f>
        <v>59</v>
      </c>
      <c r="I17" s="617">
        <f t="shared" si="0"/>
        <v>632</v>
      </c>
      <c r="J17" s="954">
        <f>'h14'!E8</f>
        <v>95</v>
      </c>
      <c r="K17" s="944">
        <f>SUM('h14'!J24:P24)</f>
        <v>74</v>
      </c>
      <c r="L17" s="261">
        <f>SUM('h14'!$Q$24:$V$24)</f>
        <v>64</v>
      </c>
      <c r="M17" s="951">
        <f>('h14'!B8+'h14'!C8)</f>
        <v>641</v>
      </c>
      <c r="N17" s="958">
        <f>GETPIVOTDATA("2017-18",'h14'!$A$4,"FinYear","2017-18")</f>
        <v>1506</v>
      </c>
      <c r="P17" s="546"/>
      <c r="S17" s="151"/>
    </row>
    <row r="18" spans="1:19" ht="15.75" thickBot="1" x14ac:dyDescent="0.3">
      <c r="A18" s="238" t="str">
        <f>'h14'!A25</f>
        <v>2018-19</v>
      </c>
      <c r="B18" s="467">
        <f>'h14'!G25</f>
        <v>431</v>
      </c>
      <c r="C18" s="467">
        <f>'h14'!C25</f>
        <v>28</v>
      </c>
      <c r="D18" s="467">
        <f>'h14'!H25</f>
        <v>42</v>
      </c>
      <c r="E18" s="941">
        <f>'h14'!D25</f>
        <v>39</v>
      </c>
      <c r="F18" s="467">
        <f>'h14'!F25</f>
        <v>25</v>
      </c>
      <c r="G18" s="467">
        <f>'h14'!I25</f>
        <v>39</v>
      </c>
      <c r="H18" s="467">
        <f>'h14'!E25</f>
        <v>62</v>
      </c>
      <c r="I18" s="946">
        <f t="shared" si="0"/>
        <v>666</v>
      </c>
      <c r="J18" s="952">
        <f>'h14'!E9</f>
        <v>198</v>
      </c>
      <c r="K18" s="945">
        <f>SUM('h14'!$J$25:$P$25)</f>
        <v>90</v>
      </c>
      <c r="L18" s="467">
        <f>SUM('h14'!$Q$25:$V$25)</f>
        <v>65</v>
      </c>
      <c r="M18" s="952">
        <f>('h14'!B9+'h14'!C9)</f>
        <v>532</v>
      </c>
      <c r="N18" s="959">
        <f>GETPIVOTDATA("2017-18",'h14'!$A$4,"FinYear","2018-19")</f>
        <v>1551</v>
      </c>
      <c r="S18" s="151"/>
    </row>
    <row r="19" spans="1:19" x14ac:dyDescent="0.25">
      <c r="A19" s="480"/>
      <c r="B19" s="79"/>
      <c r="C19" s="79"/>
      <c r="D19" s="79"/>
      <c r="E19" s="79"/>
      <c r="F19" s="79"/>
      <c r="G19" s="79"/>
      <c r="H19" s="79"/>
      <c r="I19" s="79"/>
      <c r="J19" s="79"/>
      <c r="K19" s="79"/>
      <c r="L19" s="79"/>
      <c r="M19" s="79"/>
      <c r="O19" s="79"/>
      <c r="Q19" s="79"/>
      <c r="R19" s="79"/>
      <c r="S19" s="79"/>
    </row>
    <row r="20" spans="1:19" x14ac:dyDescent="0.25">
      <c r="A20" s="438" t="s">
        <v>8</v>
      </c>
      <c r="I20" s="182"/>
    </row>
    <row r="21" spans="1:19" ht="45" customHeight="1" x14ac:dyDescent="0.25">
      <c r="A21" s="999" t="s">
        <v>827</v>
      </c>
      <c r="B21" s="999"/>
      <c r="C21" s="999"/>
      <c r="D21" s="999"/>
      <c r="E21" s="999"/>
      <c r="F21" s="999"/>
      <c r="G21" s="999"/>
      <c r="H21" s="999"/>
      <c r="I21" s="999"/>
      <c r="J21" s="999"/>
      <c r="K21" s="999"/>
      <c r="L21" s="999"/>
      <c r="M21" s="999"/>
      <c r="N21" s="999"/>
    </row>
    <row r="22" spans="1:19" ht="15" customHeight="1" x14ac:dyDescent="0.25">
      <c r="A22" s="570" t="s">
        <v>851</v>
      </c>
      <c r="B22" s="965"/>
      <c r="C22" s="965"/>
      <c r="D22" s="965"/>
      <c r="E22" s="965"/>
      <c r="F22" s="965"/>
      <c r="G22" s="965"/>
      <c r="H22" s="965"/>
      <c r="I22" s="965"/>
      <c r="J22" s="965"/>
      <c r="K22" s="965"/>
      <c r="L22" s="965"/>
      <c r="M22" s="965"/>
      <c r="N22" s="965"/>
    </row>
    <row r="23" spans="1:19" ht="30" customHeight="1" x14ac:dyDescent="0.25">
      <c r="A23" s="999" t="s">
        <v>828</v>
      </c>
      <c r="B23" s="999"/>
      <c r="C23" s="999"/>
      <c r="D23" s="999"/>
      <c r="E23" s="999"/>
      <c r="F23" s="999"/>
      <c r="G23" s="999"/>
      <c r="H23" s="999"/>
      <c r="I23" s="999"/>
      <c r="J23" s="999"/>
      <c r="K23" s="999"/>
      <c r="L23" s="999"/>
      <c r="M23" s="999"/>
      <c r="N23" s="999"/>
    </row>
    <row r="24" spans="1:19" ht="45" customHeight="1" x14ac:dyDescent="0.25">
      <c r="A24" s="999" t="s">
        <v>829</v>
      </c>
      <c r="B24" s="999"/>
      <c r="C24" s="999"/>
      <c r="D24" s="999"/>
      <c r="E24" s="999"/>
      <c r="F24" s="999"/>
      <c r="G24" s="999"/>
      <c r="H24" s="999"/>
      <c r="I24" s="999"/>
      <c r="J24" s="999"/>
      <c r="K24" s="999"/>
      <c r="L24" s="999"/>
      <c r="M24" s="999"/>
      <c r="N24" s="999"/>
      <c r="O24" s="697"/>
      <c r="P24" s="697"/>
      <c r="Q24" s="697"/>
      <c r="R24" s="697"/>
    </row>
    <row r="25" spans="1:19" x14ac:dyDescent="0.25">
      <c r="A25" t="s">
        <v>241</v>
      </c>
    </row>
    <row r="26" spans="1:19" ht="45" customHeight="1" x14ac:dyDescent="0.25">
      <c r="A26" s="999" t="s">
        <v>830</v>
      </c>
      <c r="B26" s="999"/>
      <c r="C26" s="999"/>
      <c r="D26" s="999"/>
      <c r="E26" s="999"/>
      <c r="F26" s="999"/>
      <c r="G26" s="999"/>
      <c r="H26" s="999"/>
      <c r="I26" s="999"/>
      <c r="J26" s="999"/>
      <c r="K26" s="999"/>
      <c r="L26" s="999"/>
      <c r="M26" s="999"/>
      <c r="N26" s="999"/>
      <c r="O26" s="528"/>
      <c r="P26" s="528"/>
      <c r="Q26" s="528"/>
      <c r="R26" s="528"/>
      <c r="S26" s="613"/>
    </row>
    <row r="27" spans="1:19" x14ac:dyDescent="0.25">
      <c r="S27" s="614"/>
    </row>
    <row r="29" spans="1:19" x14ac:dyDescent="0.25">
      <c r="A29" s="501"/>
    </row>
  </sheetData>
  <sheetProtection algorithmName="SHA-512" hashValue="W9tTCHZjfO1P2C+4li33DDfYLE+4e4tFfEpTknSshWA2QMFtMSTcoT/wC5O5haks2CplnvOHm2XlJrtIo4VgYg==" saltValue="2gqvGv+GnS2gewurBWw4lg==" spinCount="100000" sheet="1" objects="1" scenarios="1"/>
  <mergeCells count="5">
    <mergeCell ref="A1:J1"/>
    <mergeCell ref="A21:N21"/>
    <mergeCell ref="A23:N23"/>
    <mergeCell ref="A24:N24"/>
    <mergeCell ref="A26:N26"/>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2"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F155"/>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1" spans="1:6" ht="15.75" x14ac:dyDescent="0.25">
      <c r="A1" s="982" t="s">
        <v>941</v>
      </c>
    </row>
    <row r="2" spans="1:6" x14ac:dyDescent="0.25">
      <c r="A2" s="1047">
        <v>43700</v>
      </c>
      <c r="B2" s="1048"/>
    </row>
    <row r="4" spans="1:6" x14ac:dyDescent="0.25">
      <c r="A4" s="980" t="s">
        <v>274</v>
      </c>
      <c r="B4" s="980" t="s">
        <v>897</v>
      </c>
      <c r="C4" s="980" t="s">
        <v>940</v>
      </c>
      <c r="D4" s="980" t="s">
        <v>26</v>
      </c>
      <c r="E4" s="980" t="s">
        <v>95</v>
      </c>
      <c r="F4" s="980" t="s">
        <v>96</v>
      </c>
    </row>
    <row r="5" spans="1:6" x14ac:dyDescent="0.25">
      <c r="A5" s="981" t="s">
        <v>207</v>
      </c>
      <c r="B5" s="981" t="s">
        <v>2</v>
      </c>
      <c r="C5" s="981" t="s">
        <v>22</v>
      </c>
      <c r="D5" s="981">
        <v>52</v>
      </c>
      <c r="E5" s="981">
        <v>46</v>
      </c>
      <c r="F5" s="981">
        <v>6</v>
      </c>
    </row>
    <row r="6" spans="1:6" x14ac:dyDescent="0.25">
      <c r="A6" s="981" t="s">
        <v>207</v>
      </c>
      <c r="B6" s="981" t="s">
        <v>2</v>
      </c>
      <c r="C6" s="981" t="s">
        <v>23</v>
      </c>
      <c r="D6" s="981">
        <v>103</v>
      </c>
      <c r="E6" s="981">
        <v>94</v>
      </c>
      <c r="F6" s="981">
        <v>9</v>
      </c>
    </row>
    <row r="7" spans="1:6" x14ac:dyDescent="0.25">
      <c r="A7" s="981" t="s">
        <v>207</v>
      </c>
      <c r="B7" s="981" t="s">
        <v>2</v>
      </c>
      <c r="C7" s="981" t="s">
        <v>19</v>
      </c>
      <c r="D7" s="981">
        <v>5</v>
      </c>
      <c r="E7" s="981">
        <v>4</v>
      </c>
      <c r="F7" s="981">
        <v>1</v>
      </c>
    </row>
    <row r="8" spans="1:6" x14ac:dyDescent="0.25">
      <c r="A8" s="981" t="s">
        <v>207</v>
      </c>
      <c r="B8" s="981" t="s">
        <v>2</v>
      </c>
      <c r="C8" s="981" t="s">
        <v>20</v>
      </c>
      <c r="D8" s="981">
        <v>11</v>
      </c>
      <c r="E8" s="981">
        <v>9</v>
      </c>
      <c r="F8" s="981">
        <v>2</v>
      </c>
    </row>
    <row r="9" spans="1:6" x14ac:dyDescent="0.25">
      <c r="A9" s="981" t="s">
        <v>207</v>
      </c>
      <c r="B9" s="981" t="s">
        <v>2</v>
      </c>
      <c r="C9" s="981" t="s">
        <v>21</v>
      </c>
      <c r="D9" s="981">
        <v>52</v>
      </c>
      <c r="E9" s="981">
        <v>46</v>
      </c>
      <c r="F9" s="981">
        <v>6</v>
      </c>
    </row>
    <row r="10" spans="1:6" x14ac:dyDescent="0.25">
      <c r="A10" s="981" t="s">
        <v>207</v>
      </c>
      <c r="B10" s="981" t="s">
        <v>9</v>
      </c>
      <c r="C10" s="981" t="s">
        <v>22</v>
      </c>
      <c r="D10" s="981">
        <v>535</v>
      </c>
      <c r="E10" s="981">
        <v>19</v>
      </c>
      <c r="F10" s="981">
        <v>516</v>
      </c>
    </row>
    <row r="11" spans="1:6" x14ac:dyDescent="0.25">
      <c r="A11" s="981" t="s">
        <v>207</v>
      </c>
      <c r="B11" s="981" t="s">
        <v>9</v>
      </c>
      <c r="C11" s="981" t="s">
        <v>23</v>
      </c>
      <c r="D11" s="981">
        <v>2127</v>
      </c>
      <c r="E11" s="981">
        <v>149</v>
      </c>
      <c r="F11" s="981">
        <v>1978</v>
      </c>
    </row>
    <row r="12" spans="1:6" x14ac:dyDescent="0.25">
      <c r="A12" s="981" t="s">
        <v>207</v>
      </c>
      <c r="B12" s="981" t="s">
        <v>9</v>
      </c>
      <c r="C12" s="981" t="s">
        <v>21</v>
      </c>
      <c r="D12" s="981">
        <v>278</v>
      </c>
      <c r="E12" s="981">
        <v>10</v>
      </c>
      <c r="F12" s="981">
        <v>268</v>
      </c>
    </row>
    <row r="13" spans="1:6" x14ac:dyDescent="0.25">
      <c r="A13" s="981" t="s">
        <v>207</v>
      </c>
      <c r="B13" s="981" t="s">
        <v>3</v>
      </c>
      <c r="C13" s="981" t="s">
        <v>101</v>
      </c>
      <c r="D13" s="981">
        <v>278</v>
      </c>
      <c r="E13" s="981">
        <v>248</v>
      </c>
      <c r="F13" s="981">
        <v>30</v>
      </c>
    </row>
    <row r="14" spans="1:6" x14ac:dyDescent="0.25">
      <c r="A14" s="981" t="s">
        <v>207</v>
      </c>
      <c r="B14" s="981" t="s">
        <v>3</v>
      </c>
      <c r="C14" s="981" t="s">
        <v>213</v>
      </c>
      <c r="D14" s="981">
        <v>0</v>
      </c>
      <c r="E14" s="981">
        <v>0</v>
      </c>
      <c r="F14" s="981">
        <v>0</v>
      </c>
    </row>
    <row r="15" spans="1:6" x14ac:dyDescent="0.25">
      <c r="A15" s="981" t="s">
        <v>207</v>
      </c>
      <c r="B15" s="981" t="s">
        <v>3</v>
      </c>
      <c r="C15" s="981" t="s">
        <v>86</v>
      </c>
      <c r="D15" s="981">
        <v>45</v>
      </c>
      <c r="E15" s="981">
        <v>28</v>
      </c>
      <c r="F15" s="981">
        <v>17</v>
      </c>
    </row>
    <row r="16" spans="1:6" x14ac:dyDescent="0.25">
      <c r="A16" s="981" t="s">
        <v>207</v>
      </c>
      <c r="B16" s="981" t="s">
        <v>3</v>
      </c>
      <c r="C16" s="981" t="s">
        <v>84</v>
      </c>
      <c r="D16" s="981">
        <v>70</v>
      </c>
      <c r="E16" s="981">
        <v>32</v>
      </c>
      <c r="F16" s="981">
        <v>38</v>
      </c>
    </row>
    <row r="17" spans="1:6" x14ac:dyDescent="0.25">
      <c r="A17" s="981" t="s">
        <v>207</v>
      </c>
      <c r="B17" s="981" t="s">
        <v>3</v>
      </c>
      <c r="C17" s="981" t="s">
        <v>322</v>
      </c>
      <c r="D17" s="981">
        <v>314</v>
      </c>
      <c r="E17" s="981">
        <v>91</v>
      </c>
      <c r="F17" s="981">
        <v>223</v>
      </c>
    </row>
    <row r="18" spans="1:6" x14ac:dyDescent="0.25">
      <c r="A18" s="981" t="s">
        <v>207</v>
      </c>
      <c r="B18" s="981" t="s">
        <v>3</v>
      </c>
      <c r="C18" s="981" t="s">
        <v>90</v>
      </c>
      <c r="D18" s="981">
        <v>20</v>
      </c>
      <c r="E18" s="981">
        <v>7</v>
      </c>
      <c r="F18" s="981">
        <v>13</v>
      </c>
    </row>
    <row r="19" spans="1:6" x14ac:dyDescent="0.25">
      <c r="A19" s="981" t="s">
        <v>207</v>
      </c>
      <c r="B19" s="981" t="s">
        <v>3</v>
      </c>
      <c r="C19" s="981" t="s">
        <v>88</v>
      </c>
      <c r="D19" s="981">
        <v>234</v>
      </c>
      <c r="E19" s="981">
        <v>139</v>
      </c>
      <c r="F19" s="981">
        <v>95</v>
      </c>
    </row>
    <row r="20" spans="1:6" x14ac:dyDescent="0.25">
      <c r="A20" s="981" t="s">
        <v>207</v>
      </c>
      <c r="B20" s="981" t="s">
        <v>320</v>
      </c>
      <c r="C20" s="981" t="s">
        <v>22</v>
      </c>
      <c r="D20" s="981">
        <v>73</v>
      </c>
      <c r="E20" s="981">
        <v>8</v>
      </c>
      <c r="F20" s="981">
        <v>65</v>
      </c>
    </row>
    <row r="21" spans="1:6" x14ac:dyDescent="0.25">
      <c r="A21" s="981" t="s">
        <v>207</v>
      </c>
      <c r="B21" s="981" t="s">
        <v>320</v>
      </c>
      <c r="C21" s="981" t="s">
        <v>23</v>
      </c>
      <c r="D21" s="981">
        <v>277</v>
      </c>
      <c r="E21" s="981">
        <v>44</v>
      </c>
      <c r="F21" s="981">
        <v>233</v>
      </c>
    </row>
    <row r="22" spans="1:6" x14ac:dyDescent="0.25">
      <c r="A22" s="981" t="s">
        <v>207</v>
      </c>
      <c r="B22" s="981" t="s">
        <v>320</v>
      </c>
      <c r="C22" s="981" t="s">
        <v>939</v>
      </c>
      <c r="D22" s="981">
        <v>9</v>
      </c>
      <c r="E22" s="981">
        <v>0</v>
      </c>
      <c r="F22" s="981">
        <v>9</v>
      </c>
    </row>
    <row r="23" spans="1:6" x14ac:dyDescent="0.25">
      <c r="A23" s="981" t="s">
        <v>207</v>
      </c>
      <c r="B23" s="981" t="s">
        <v>321</v>
      </c>
      <c r="C23" s="981" t="s">
        <v>18</v>
      </c>
      <c r="D23" s="981">
        <v>28</v>
      </c>
      <c r="E23" s="981">
        <v>0</v>
      </c>
      <c r="F23" s="981">
        <v>28</v>
      </c>
    </row>
    <row r="24" spans="1:6" x14ac:dyDescent="0.25">
      <c r="A24" s="981" t="s">
        <v>207</v>
      </c>
      <c r="B24" s="981" t="s">
        <v>321</v>
      </c>
      <c r="C24" s="981" t="s">
        <v>212</v>
      </c>
      <c r="D24" s="981">
        <v>9</v>
      </c>
      <c r="E24" s="981">
        <v>0</v>
      </c>
      <c r="F24" s="981">
        <v>9</v>
      </c>
    </row>
    <row r="25" spans="1:6" x14ac:dyDescent="0.25">
      <c r="A25" s="981" t="s">
        <v>207</v>
      </c>
      <c r="B25" s="981" t="s">
        <v>321</v>
      </c>
      <c r="C25" s="981" t="s">
        <v>22</v>
      </c>
      <c r="D25" s="981">
        <v>660</v>
      </c>
      <c r="E25" s="981">
        <v>26</v>
      </c>
      <c r="F25" s="981">
        <v>634</v>
      </c>
    </row>
    <row r="26" spans="1:6" x14ac:dyDescent="0.25">
      <c r="A26" s="981" t="s">
        <v>207</v>
      </c>
      <c r="B26" s="981" t="s">
        <v>321</v>
      </c>
      <c r="C26" s="981" t="s">
        <v>23</v>
      </c>
      <c r="D26" s="981">
        <v>2374</v>
      </c>
      <c r="E26" s="981">
        <v>106</v>
      </c>
      <c r="F26" s="981">
        <v>2268</v>
      </c>
    </row>
    <row r="27" spans="1:6" x14ac:dyDescent="0.25">
      <c r="A27" s="981" t="s">
        <v>207</v>
      </c>
      <c r="B27" s="981" t="s">
        <v>321</v>
      </c>
      <c r="C27" s="981" t="s">
        <v>19</v>
      </c>
      <c r="D27" s="981">
        <v>115</v>
      </c>
      <c r="E27" s="981">
        <v>3</v>
      </c>
      <c r="F27" s="981">
        <v>112</v>
      </c>
    </row>
    <row r="28" spans="1:6" x14ac:dyDescent="0.25">
      <c r="A28" s="981" t="s">
        <v>207</v>
      </c>
      <c r="B28" s="981" t="s">
        <v>321</v>
      </c>
      <c r="C28" s="981" t="s">
        <v>20</v>
      </c>
      <c r="D28" s="981">
        <v>136</v>
      </c>
      <c r="E28" s="981">
        <v>2</v>
      </c>
      <c r="F28" s="981">
        <v>134</v>
      </c>
    </row>
    <row r="29" spans="1:6" x14ac:dyDescent="0.25">
      <c r="A29" s="981" t="s">
        <v>207</v>
      </c>
      <c r="B29" s="981" t="s">
        <v>321</v>
      </c>
      <c r="C29" s="981" t="s">
        <v>21</v>
      </c>
      <c r="D29" s="981">
        <v>679</v>
      </c>
      <c r="E29" s="981">
        <v>22</v>
      </c>
      <c r="F29" s="981">
        <v>657</v>
      </c>
    </row>
    <row r="30" spans="1:6" x14ac:dyDescent="0.25">
      <c r="A30" s="981" t="s">
        <v>206</v>
      </c>
      <c r="B30" s="981" t="s">
        <v>2</v>
      </c>
      <c r="C30" s="981" t="s">
        <v>22</v>
      </c>
      <c r="D30" s="981">
        <v>52</v>
      </c>
      <c r="E30" s="981">
        <v>44</v>
      </c>
      <c r="F30" s="981">
        <v>8</v>
      </c>
    </row>
    <row r="31" spans="1:6" x14ac:dyDescent="0.25">
      <c r="A31" s="981" t="s">
        <v>206</v>
      </c>
      <c r="B31" s="981" t="s">
        <v>2</v>
      </c>
      <c r="C31" s="981" t="s">
        <v>23</v>
      </c>
      <c r="D31" s="981">
        <v>110</v>
      </c>
      <c r="E31" s="981">
        <v>89</v>
      </c>
      <c r="F31" s="981">
        <v>21</v>
      </c>
    </row>
    <row r="32" spans="1:6" x14ac:dyDescent="0.25">
      <c r="A32" s="981" t="s">
        <v>206</v>
      </c>
      <c r="B32" s="981" t="s">
        <v>2</v>
      </c>
      <c r="C32" s="981" t="s">
        <v>19</v>
      </c>
      <c r="D32" s="981">
        <v>5</v>
      </c>
      <c r="E32" s="981">
        <v>4</v>
      </c>
      <c r="F32" s="981">
        <v>1</v>
      </c>
    </row>
    <row r="33" spans="1:6" x14ac:dyDescent="0.25">
      <c r="A33" s="981" t="s">
        <v>206</v>
      </c>
      <c r="B33" s="981" t="s">
        <v>2</v>
      </c>
      <c r="C33" s="981" t="s">
        <v>20</v>
      </c>
      <c r="D33" s="981">
        <v>13</v>
      </c>
      <c r="E33" s="981">
        <v>11</v>
      </c>
      <c r="F33" s="981">
        <v>2</v>
      </c>
    </row>
    <row r="34" spans="1:6" x14ac:dyDescent="0.25">
      <c r="A34" s="981" t="s">
        <v>206</v>
      </c>
      <c r="B34" s="981" t="s">
        <v>2</v>
      </c>
      <c r="C34" s="981" t="s">
        <v>21</v>
      </c>
      <c r="D34" s="981">
        <v>50</v>
      </c>
      <c r="E34" s="981">
        <v>44</v>
      </c>
      <c r="F34" s="981">
        <v>6</v>
      </c>
    </row>
    <row r="35" spans="1:6" x14ac:dyDescent="0.25">
      <c r="A35" s="981" t="s">
        <v>206</v>
      </c>
      <c r="B35" s="981" t="s">
        <v>9</v>
      </c>
      <c r="C35" s="981" t="s">
        <v>22</v>
      </c>
      <c r="D35" s="981">
        <v>546</v>
      </c>
      <c r="E35" s="981">
        <v>17</v>
      </c>
      <c r="F35" s="981">
        <v>529</v>
      </c>
    </row>
    <row r="36" spans="1:6" x14ac:dyDescent="0.25">
      <c r="A36" s="981" t="s">
        <v>206</v>
      </c>
      <c r="B36" s="981" t="s">
        <v>9</v>
      </c>
      <c r="C36" s="981" t="s">
        <v>23</v>
      </c>
      <c r="D36" s="981">
        <v>2124</v>
      </c>
      <c r="E36" s="981">
        <v>143</v>
      </c>
      <c r="F36" s="981">
        <v>1981</v>
      </c>
    </row>
    <row r="37" spans="1:6" x14ac:dyDescent="0.25">
      <c r="A37" s="981" t="s">
        <v>206</v>
      </c>
      <c r="B37" s="981" t="s">
        <v>9</v>
      </c>
      <c r="C37" s="981" t="s">
        <v>21</v>
      </c>
      <c r="D37" s="981">
        <v>280</v>
      </c>
      <c r="E37" s="981">
        <v>12</v>
      </c>
      <c r="F37" s="981">
        <v>268</v>
      </c>
    </row>
    <row r="38" spans="1:6" x14ac:dyDescent="0.25">
      <c r="A38" s="981" t="s">
        <v>206</v>
      </c>
      <c r="B38" s="981" t="s">
        <v>3</v>
      </c>
      <c r="C38" s="981" t="s">
        <v>101</v>
      </c>
      <c r="D38" s="981">
        <v>195</v>
      </c>
      <c r="E38" s="981">
        <v>176</v>
      </c>
      <c r="F38" s="981">
        <v>19</v>
      </c>
    </row>
    <row r="39" spans="1:6" x14ac:dyDescent="0.25">
      <c r="A39" s="981" t="s">
        <v>206</v>
      </c>
      <c r="B39" s="981" t="s">
        <v>3</v>
      </c>
      <c r="C39" s="981" t="s">
        <v>213</v>
      </c>
      <c r="D39" s="981">
        <v>2</v>
      </c>
      <c r="E39" s="981">
        <v>2</v>
      </c>
      <c r="F39" s="981">
        <v>0</v>
      </c>
    </row>
    <row r="40" spans="1:6" x14ac:dyDescent="0.25">
      <c r="A40" s="981" t="s">
        <v>206</v>
      </c>
      <c r="B40" s="981" t="s">
        <v>3</v>
      </c>
      <c r="C40" s="981" t="s">
        <v>86</v>
      </c>
      <c r="D40" s="981">
        <v>59</v>
      </c>
      <c r="E40" s="981">
        <v>40</v>
      </c>
      <c r="F40" s="981">
        <v>19</v>
      </c>
    </row>
    <row r="41" spans="1:6" x14ac:dyDescent="0.25">
      <c r="A41" s="981" t="s">
        <v>206</v>
      </c>
      <c r="B41" s="981" t="s">
        <v>3</v>
      </c>
      <c r="C41" s="981" t="s">
        <v>84</v>
      </c>
      <c r="D41" s="981">
        <v>44</v>
      </c>
      <c r="E41" s="981">
        <v>21</v>
      </c>
      <c r="F41" s="981">
        <v>23</v>
      </c>
    </row>
    <row r="42" spans="1:6" x14ac:dyDescent="0.25">
      <c r="A42" s="981" t="s">
        <v>206</v>
      </c>
      <c r="B42" s="981" t="s">
        <v>3</v>
      </c>
      <c r="C42" s="981" t="s">
        <v>322</v>
      </c>
      <c r="D42" s="981">
        <v>335</v>
      </c>
      <c r="E42" s="981">
        <v>99</v>
      </c>
      <c r="F42" s="981">
        <v>236</v>
      </c>
    </row>
    <row r="43" spans="1:6" x14ac:dyDescent="0.25">
      <c r="A43" s="981" t="s">
        <v>206</v>
      </c>
      <c r="B43" s="981" t="s">
        <v>3</v>
      </c>
      <c r="C43" s="981" t="s">
        <v>90</v>
      </c>
      <c r="D43" s="981">
        <v>37</v>
      </c>
      <c r="E43" s="981">
        <v>20</v>
      </c>
      <c r="F43" s="981">
        <v>17</v>
      </c>
    </row>
    <row r="44" spans="1:6" x14ac:dyDescent="0.25">
      <c r="A44" s="981" t="s">
        <v>206</v>
      </c>
      <c r="B44" s="981" t="s">
        <v>3</v>
      </c>
      <c r="C44" s="981" t="s">
        <v>88</v>
      </c>
      <c r="D44" s="981">
        <v>195</v>
      </c>
      <c r="E44" s="981">
        <v>122</v>
      </c>
      <c r="F44" s="981">
        <v>73</v>
      </c>
    </row>
    <row r="45" spans="1:6" x14ac:dyDescent="0.25">
      <c r="A45" s="981" t="s">
        <v>206</v>
      </c>
      <c r="B45" s="981" t="s">
        <v>320</v>
      </c>
      <c r="C45" s="981" t="s">
        <v>22</v>
      </c>
      <c r="D45" s="981">
        <v>44</v>
      </c>
      <c r="E45" s="981">
        <v>4</v>
      </c>
      <c r="F45" s="981">
        <v>40</v>
      </c>
    </row>
    <row r="46" spans="1:6" x14ac:dyDescent="0.25">
      <c r="A46" s="981" t="s">
        <v>206</v>
      </c>
      <c r="B46" s="981" t="s">
        <v>320</v>
      </c>
      <c r="C46" s="981" t="s">
        <v>23</v>
      </c>
      <c r="D46" s="981">
        <v>296</v>
      </c>
      <c r="E46" s="981">
        <v>48</v>
      </c>
      <c r="F46" s="981">
        <v>248</v>
      </c>
    </row>
    <row r="47" spans="1:6" x14ac:dyDescent="0.25">
      <c r="A47" s="981" t="s">
        <v>206</v>
      </c>
      <c r="B47" s="981" t="s">
        <v>320</v>
      </c>
      <c r="C47" s="981" t="s">
        <v>939</v>
      </c>
      <c r="D47" s="981">
        <v>38</v>
      </c>
      <c r="E47" s="981">
        <v>4</v>
      </c>
      <c r="F47" s="981">
        <v>34</v>
      </c>
    </row>
    <row r="48" spans="1:6" x14ac:dyDescent="0.25">
      <c r="A48" s="981" t="s">
        <v>206</v>
      </c>
      <c r="B48" s="981" t="s">
        <v>321</v>
      </c>
      <c r="C48" s="981" t="s">
        <v>18</v>
      </c>
      <c r="D48" s="981">
        <v>33</v>
      </c>
      <c r="E48" s="981">
        <v>0</v>
      </c>
      <c r="F48" s="981">
        <v>33</v>
      </c>
    </row>
    <row r="49" spans="1:6" x14ac:dyDescent="0.25">
      <c r="A49" s="981" t="s">
        <v>206</v>
      </c>
      <c r="B49" s="981" t="s">
        <v>321</v>
      </c>
      <c r="C49" s="981" t="s">
        <v>212</v>
      </c>
      <c r="D49" s="981">
        <v>7</v>
      </c>
      <c r="E49" s="981">
        <v>0</v>
      </c>
      <c r="F49" s="981">
        <v>7</v>
      </c>
    </row>
    <row r="50" spans="1:6" x14ac:dyDescent="0.25">
      <c r="A50" s="981" t="s">
        <v>206</v>
      </c>
      <c r="B50" s="981" t="s">
        <v>321</v>
      </c>
      <c r="C50" s="981" t="s">
        <v>22</v>
      </c>
      <c r="D50" s="981">
        <v>634</v>
      </c>
      <c r="E50" s="981">
        <v>24</v>
      </c>
      <c r="F50" s="981">
        <v>610</v>
      </c>
    </row>
    <row r="51" spans="1:6" x14ac:dyDescent="0.25">
      <c r="A51" s="981" t="s">
        <v>206</v>
      </c>
      <c r="B51" s="981" t="s">
        <v>321</v>
      </c>
      <c r="C51" s="981" t="s">
        <v>23</v>
      </c>
      <c r="D51" s="981">
        <v>2285</v>
      </c>
      <c r="E51" s="981">
        <v>109</v>
      </c>
      <c r="F51" s="981">
        <v>2176</v>
      </c>
    </row>
    <row r="52" spans="1:6" x14ac:dyDescent="0.25">
      <c r="A52" s="981" t="s">
        <v>206</v>
      </c>
      <c r="B52" s="981" t="s">
        <v>321</v>
      </c>
      <c r="C52" s="981" t="s">
        <v>19</v>
      </c>
      <c r="D52" s="981">
        <v>103</v>
      </c>
      <c r="E52" s="981">
        <v>3</v>
      </c>
      <c r="F52" s="981">
        <v>100</v>
      </c>
    </row>
    <row r="53" spans="1:6" x14ac:dyDescent="0.25">
      <c r="A53" s="981" t="s">
        <v>206</v>
      </c>
      <c r="B53" s="981" t="s">
        <v>321</v>
      </c>
      <c r="C53" s="981" t="s">
        <v>20</v>
      </c>
      <c r="D53" s="981">
        <v>130</v>
      </c>
      <c r="E53" s="981">
        <v>1</v>
      </c>
      <c r="F53" s="981">
        <v>129</v>
      </c>
    </row>
    <row r="54" spans="1:6" x14ac:dyDescent="0.25">
      <c r="A54" s="981" t="s">
        <v>206</v>
      </c>
      <c r="B54" s="981" t="s">
        <v>321</v>
      </c>
      <c r="C54" s="981" t="s">
        <v>21</v>
      </c>
      <c r="D54" s="981">
        <v>664</v>
      </c>
      <c r="E54" s="981">
        <v>27</v>
      </c>
      <c r="F54" s="981">
        <v>637</v>
      </c>
    </row>
    <row r="55" spans="1:6" x14ac:dyDescent="0.25">
      <c r="A55" s="981" t="s">
        <v>205</v>
      </c>
      <c r="B55" s="981" t="s">
        <v>2</v>
      </c>
      <c r="C55" s="981" t="s">
        <v>22</v>
      </c>
      <c r="D55" s="981">
        <v>44</v>
      </c>
      <c r="E55" s="981">
        <v>39</v>
      </c>
      <c r="F55" s="981">
        <v>5</v>
      </c>
    </row>
    <row r="56" spans="1:6" x14ac:dyDescent="0.25">
      <c r="A56" s="981" t="s">
        <v>205</v>
      </c>
      <c r="B56" s="981" t="s">
        <v>2</v>
      </c>
      <c r="C56" s="981" t="s">
        <v>23</v>
      </c>
      <c r="D56" s="981">
        <v>95</v>
      </c>
      <c r="E56" s="981">
        <v>77</v>
      </c>
      <c r="F56" s="981">
        <v>18</v>
      </c>
    </row>
    <row r="57" spans="1:6" x14ac:dyDescent="0.25">
      <c r="A57" s="981" t="s">
        <v>205</v>
      </c>
      <c r="B57" s="981" t="s">
        <v>2</v>
      </c>
      <c r="C57" s="981" t="s">
        <v>19</v>
      </c>
      <c r="D57" s="981">
        <v>6</v>
      </c>
      <c r="E57" s="981">
        <v>4</v>
      </c>
      <c r="F57" s="981">
        <v>2</v>
      </c>
    </row>
    <row r="58" spans="1:6" x14ac:dyDescent="0.25">
      <c r="A58" s="981" t="s">
        <v>205</v>
      </c>
      <c r="B58" s="981" t="s">
        <v>2</v>
      </c>
      <c r="C58" s="981" t="s">
        <v>20</v>
      </c>
      <c r="D58" s="981">
        <v>7</v>
      </c>
      <c r="E58" s="981">
        <v>7</v>
      </c>
      <c r="F58" s="981">
        <v>0</v>
      </c>
    </row>
    <row r="59" spans="1:6" x14ac:dyDescent="0.25">
      <c r="A59" s="981" t="s">
        <v>205</v>
      </c>
      <c r="B59" s="981" t="s">
        <v>2</v>
      </c>
      <c r="C59" s="981" t="s">
        <v>21</v>
      </c>
      <c r="D59" s="981">
        <v>51</v>
      </c>
      <c r="E59" s="981">
        <v>44</v>
      </c>
      <c r="F59" s="981">
        <v>7</v>
      </c>
    </row>
    <row r="60" spans="1:6" x14ac:dyDescent="0.25">
      <c r="A60" s="981" t="s">
        <v>205</v>
      </c>
      <c r="B60" s="981" t="s">
        <v>9</v>
      </c>
      <c r="C60" s="981" t="s">
        <v>22</v>
      </c>
      <c r="D60" s="981">
        <v>543</v>
      </c>
      <c r="E60" s="981">
        <v>17</v>
      </c>
      <c r="F60" s="981">
        <v>526</v>
      </c>
    </row>
    <row r="61" spans="1:6" x14ac:dyDescent="0.25">
      <c r="A61" s="981" t="s">
        <v>205</v>
      </c>
      <c r="B61" s="981" t="s">
        <v>9</v>
      </c>
      <c r="C61" s="981" t="s">
        <v>23</v>
      </c>
      <c r="D61" s="981">
        <v>2065</v>
      </c>
      <c r="E61" s="981">
        <v>132</v>
      </c>
      <c r="F61" s="981">
        <v>1933</v>
      </c>
    </row>
    <row r="62" spans="1:6" x14ac:dyDescent="0.25">
      <c r="A62" s="981" t="s">
        <v>205</v>
      </c>
      <c r="B62" s="981" t="s">
        <v>9</v>
      </c>
      <c r="C62" s="981" t="s">
        <v>21</v>
      </c>
      <c r="D62" s="981">
        <v>262</v>
      </c>
      <c r="E62" s="981">
        <v>14</v>
      </c>
      <c r="F62" s="981">
        <v>248</v>
      </c>
    </row>
    <row r="63" spans="1:6" x14ac:dyDescent="0.25">
      <c r="A63" s="981" t="s">
        <v>205</v>
      </c>
      <c r="B63" s="981" t="s">
        <v>3</v>
      </c>
      <c r="C63" s="981" t="s">
        <v>101</v>
      </c>
      <c r="D63" s="981">
        <v>194</v>
      </c>
      <c r="E63" s="981">
        <v>176</v>
      </c>
      <c r="F63" s="981">
        <v>18</v>
      </c>
    </row>
    <row r="64" spans="1:6" x14ac:dyDescent="0.25">
      <c r="A64" s="981" t="s">
        <v>205</v>
      </c>
      <c r="B64" s="981" t="s">
        <v>3</v>
      </c>
      <c r="C64" s="981" t="s">
        <v>213</v>
      </c>
      <c r="D64" s="981">
        <v>3</v>
      </c>
      <c r="E64" s="981">
        <v>2</v>
      </c>
      <c r="F64" s="981">
        <v>1</v>
      </c>
    </row>
    <row r="65" spans="1:6" x14ac:dyDescent="0.25">
      <c r="A65" s="981" t="s">
        <v>205</v>
      </c>
      <c r="B65" s="981" t="s">
        <v>3</v>
      </c>
      <c r="C65" s="981" t="s">
        <v>86</v>
      </c>
      <c r="D65" s="981">
        <v>74</v>
      </c>
      <c r="E65" s="981">
        <v>57</v>
      </c>
      <c r="F65" s="981">
        <v>17</v>
      </c>
    </row>
    <row r="66" spans="1:6" x14ac:dyDescent="0.25">
      <c r="A66" s="981" t="s">
        <v>205</v>
      </c>
      <c r="B66" s="981" t="s">
        <v>3</v>
      </c>
      <c r="C66" s="981" t="s">
        <v>84</v>
      </c>
      <c r="D66" s="981">
        <v>40</v>
      </c>
      <c r="E66" s="981">
        <v>15</v>
      </c>
      <c r="F66" s="981">
        <v>25</v>
      </c>
    </row>
    <row r="67" spans="1:6" x14ac:dyDescent="0.25">
      <c r="A67" s="981" t="s">
        <v>205</v>
      </c>
      <c r="B67" s="981" t="s">
        <v>3</v>
      </c>
      <c r="C67" s="981" t="s">
        <v>322</v>
      </c>
      <c r="D67" s="981">
        <v>316</v>
      </c>
      <c r="E67" s="981">
        <v>101</v>
      </c>
      <c r="F67" s="981">
        <v>215</v>
      </c>
    </row>
    <row r="68" spans="1:6" x14ac:dyDescent="0.25">
      <c r="A68" s="981" t="s">
        <v>205</v>
      </c>
      <c r="B68" s="981" t="s">
        <v>3</v>
      </c>
      <c r="C68" s="981" t="s">
        <v>90</v>
      </c>
      <c r="D68" s="981">
        <v>34</v>
      </c>
      <c r="E68" s="981">
        <v>18</v>
      </c>
      <c r="F68" s="981">
        <v>16</v>
      </c>
    </row>
    <row r="69" spans="1:6" x14ac:dyDescent="0.25">
      <c r="A69" s="981" t="s">
        <v>205</v>
      </c>
      <c r="B69" s="981" t="s">
        <v>3</v>
      </c>
      <c r="C69" s="981" t="s">
        <v>88</v>
      </c>
      <c r="D69" s="981">
        <v>167</v>
      </c>
      <c r="E69" s="981">
        <v>94</v>
      </c>
      <c r="F69" s="981">
        <v>73</v>
      </c>
    </row>
    <row r="70" spans="1:6" x14ac:dyDescent="0.25">
      <c r="A70" s="981" t="s">
        <v>205</v>
      </c>
      <c r="B70" s="981" t="s">
        <v>320</v>
      </c>
      <c r="C70" s="981" t="s">
        <v>22</v>
      </c>
      <c r="D70" s="981">
        <v>46</v>
      </c>
      <c r="E70" s="981">
        <v>6</v>
      </c>
      <c r="F70" s="981">
        <v>40</v>
      </c>
    </row>
    <row r="71" spans="1:6" x14ac:dyDescent="0.25">
      <c r="A71" s="981" t="s">
        <v>205</v>
      </c>
      <c r="B71" s="981" t="s">
        <v>320</v>
      </c>
      <c r="C71" s="981" t="s">
        <v>23</v>
      </c>
      <c r="D71" s="981">
        <v>260</v>
      </c>
      <c r="E71" s="981">
        <v>48</v>
      </c>
      <c r="F71" s="981">
        <v>212</v>
      </c>
    </row>
    <row r="72" spans="1:6" x14ac:dyDescent="0.25">
      <c r="A72" s="981" t="s">
        <v>205</v>
      </c>
      <c r="B72" s="981" t="s">
        <v>320</v>
      </c>
      <c r="C72" s="981" t="s">
        <v>939</v>
      </c>
      <c r="D72" s="981">
        <v>36</v>
      </c>
      <c r="E72" s="981">
        <v>2</v>
      </c>
      <c r="F72" s="981">
        <v>34</v>
      </c>
    </row>
    <row r="73" spans="1:6" x14ac:dyDescent="0.25">
      <c r="A73" s="981" t="s">
        <v>205</v>
      </c>
      <c r="B73" s="981" t="s">
        <v>321</v>
      </c>
      <c r="C73" s="981" t="s">
        <v>18</v>
      </c>
      <c r="D73" s="981">
        <v>35</v>
      </c>
      <c r="E73" s="981">
        <v>0</v>
      </c>
      <c r="F73" s="981">
        <v>35</v>
      </c>
    </row>
    <row r="74" spans="1:6" x14ac:dyDescent="0.25">
      <c r="A74" s="981" t="s">
        <v>205</v>
      </c>
      <c r="B74" s="981" t="s">
        <v>321</v>
      </c>
      <c r="C74" s="981" t="s">
        <v>212</v>
      </c>
      <c r="D74" s="981">
        <v>4</v>
      </c>
      <c r="E74" s="981">
        <v>0</v>
      </c>
      <c r="F74" s="981">
        <v>4</v>
      </c>
    </row>
    <row r="75" spans="1:6" x14ac:dyDescent="0.25">
      <c r="A75" s="981" t="s">
        <v>205</v>
      </c>
      <c r="B75" s="981" t="s">
        <v>321</v>
      </c>
      <c r="C75" s="981" t="s">
        <v>22</v>
      </c>
      <c r="D75" s="981">
        <v>600</v>
      </c>
      <c r="E75" s="981">
        <v>27</v>
      </c>
      <c r="F75" s="981">
        <v>573</v>
      </c>
    </row>
    <row r="76" spans="1:6" x14ac:dyDescent="0.25">
      <c r="A76" s="981" t="s">
        <v>205</v>
      </c>
      <c r="B76" s="981" t="s">
        <v>321</v>
      </c>
      <c r="C76" s="981" t="s">
        <v>23</v>
      </c>
      <c r="D76" s="981">
        <v>2258</v>
      </c>
      <c r="E76" s="981">
        <v>113</v>
      </c>
      <c r="F76" s="981">
        <v>2145</v>
      </c>
    </row>
    <row r="77" spans="1:6" x14ac:dyDescent="0.25">
      <c r="A77" s="981" t="s">
        <v>205</v>
      </c>
      <c r="B77" s="981" t="s">
        <v>321</v>
      </c>
      <c r="C77" s="981" t="s">
        <v>19</v>
      </c>
      <c r="D77" s="981">
        <v>90</v>
      </c>
      <c r="E77" s="981">
        <v>3</v>
      </c>
      <c r="F77" s="981">
        <v>87</v>
      </c>
    </row>
    <row r="78" spans="1:6" x14ac:dyDescent="0.25">
      <c r="A78" s="981" t="s">
        <v>205</v>
      </c>
      <c r="B78" s="981" t="s">
        <v>321</v>
      </c>
      <c r="C78" s="981" t="s">
        <v>20</v>
      </c>
      <c r="D78" s="981">
        <v>126</v>
      </c>
      <c r="E78" s="981">
        <v>2</v>
      </c>
      <c r="F78" s="981">
        <v>124</v>
      </c>
    </row>
    <row r="79" spans="1:6" x14ac:dyDescent="0.25">
      <c r="A79" s="981" t="s">
        <v>205</v>
      </c>
      <c r="B79" s="981" t="s">
        <v>321</v>
      </c>
      <c r="C79" s="981" t="s">
        <v>21</v>
      </c>
      <c r="D79" s="981">
        <v>577</v>
      </c>
      <c r="E79" s="981">
        <v>22</v>
      </c>
      <c r="F79" s="981">
        <v>555</v>
      </c>
    </row>
    <row r="80" spans="1:6" x14ac:dyDescent="0.25">
      <c r="A80" s="981" t="s">
        <v>278</v>
      </c>
      <c r="B80" s="981" t="s">
        <v>2</v>
      </c>
      <c r="C80" s="981" t="s">
        <v>22</v>
      </c>
      <c r="D80" s="981">
        <v>31</v>
      </c>
      <c r="E80" s="981">
        <v>26</v>
      </c>
      <c r="F80" s="981">
        <v>5</v>
      </c>
    </row>
    <row r="81" spans="1:6" x14ac:dyDescent="0.25">
      <c r="A81" s="981" t="s">
        <v>278</v>
      </c>
      <c r="B81" s="981" t="s">
        <v>2</v>
      </c>
      <c r="C81" s="981" t="s">
        <v>23</v>
      </c>
      <c r="D81" s="981">
        <v>80</v>
      </c>
      <c r="E81" s="981">
        <v>67</v>
      </c>
      <c r="F81" s="981">
        <v>13</v>
      </c>
    </row>
    <row r="82" spans="1:6" x14ac:dyDescent="0.25">
      <c r="A82" s="981" t="s">
        <v>278</v>
      </c>
      <c r="B82" s="981" t="s">
        <v>2</v>
      </c>
      <c r="C82" s="981" t="s">
        <v>19</v>
      </c>
      <c r="D82" s="981">
        <v>5</v>
      </c>
      <c r="E82" s="981">
        <v>4</v>
      </c>
      <c r="F82" s="981">
        <v>1</v>
      </c>
    </row>
    <row r="83" spans="1:6" x14ac:dyDescent="0.25">
      <c r="A83" s="981" t="s">
        <v>278</v>
      </c>
      <c r="B83" s="981" t="s">
        <v>2</v>
      </c>
      <c r="C83" s="981" t="s">
        <v>20</v>
      </c>
      <c r="D83" s="981">
        <v>8</v>
      </c>
      <c r="E83" s="981">
        <v>7</v>
      </c>
      <c r="F83" s="981">
        <v>1</v>
      </c>
    </row>
    <row r="84" spans="1:6" x14ac:dyDescent="0.25">
      <c r="A84" s="981" t="s">
        <v>278</v>
      </c>
      <c r="B84" s="981" t="s">
        <v>2</v>
      </c>
      <c r="C84" s="981" t="s">
        <v>21</v>
      </c>
      <c r="D84" s="981">
        <v>41</v>
      </c>
      <c r="E84" s="981">
        <v>35</v>
      </c>
      <c r="F84" s="981">
        <v>6</v>
      </c>
    </row>
    <row r="85" spans="1:6" x14ac:dyDescent="0.25">
      <c r="A85" s="981" t="s">
        <v>278</v>
      </c>
      <c r="B85" s="981" t="s">
        <v>9</v>
      </c>
      <c r="C85" s="981" t="s">
        <v>22</v>
      </c>
      <c r="D85" s="981">
        <v>549</v>
      </c>
      <c r="E85" s="981">
        <v>15</v>
      </c>
      <c r="F85" s="981">
        <v>534</v>
      </c>
    </row>
    <row r="86" spans="1:6" x14ac:dyDescent="0.25">
      <c r="A86" s="981" t="s">
        <v>278</v>
      </c>
      <c r="B86" s="981" t="s">
        <v>9</v>
      </c>
      <c r="C86" s="981" t="s">
        <v>23</v>
      </c>
      <c r="D86" s="981">
        <v>2061</v>
      </c>
      <c r="E86" s="981">
        <v>127</v>
      </c>
      <c r="F86" s="981">
        <v>1934</v>
      </c>
    </row>
    <row r="87" spans="1:6" x14ac:dyDescent="0.25">
      <c r="A87" s="981" t="s">
        <v>278</v>
      </c>
      <c r="B87" s="981" t="s">
        <v>9</v>
      </c>
      <c r="C87" s="981" t="s">
        <v>21</v>
      </c>
      <c r="D87" s="981">
        <v>260</v>
      </c>
      <c r="E87" s="981">
        <v>16</v>
      </c>
      <c r="F87" s="981">
        <v>244</v>
      </c>
    </row>
    <row r="88" spans="1:6" x14ac:dyDescent="0.25">
      <c r="A88" s="981" t="s">
        <v>278</v>
      </c>
      <c r="B88" s="981" t="s">
        <v>3</v>
      </c>
      <c r="C88" s="981" t="s">
        <v>101</v>
      </c>
      <c r="D88" s="981">
        <v>170</v>
      </c>
      <c r="E88" s="981">
        <v>159</v>
      </c>
      <c r="F88" s="981">
        <v>11</v>
      </c>
    </row>
    <row r="89" spans="1:6" x14ac:dyDescent="0.25">
      <c r="A89" s="981" t="s">
        <v>278</v>
      </c>
      <c r="B89" s="981" t="s">
        <v>3</v>
      </c>
      <c r="C89" s="981" t="s">
        <v>213</v>
      </c>
      <c r="D89" s="981">
        <v>3</v>
      </c>
      <c r="E89" s="981">
        <v>2</v>
      </c>
      <c r="F89" s="981">
        <v>1</v>
      </c>
    </row>
    <row r="90" spans="1:6" x14ac:dyDescent="0.25">
      <c r="A90" s="981" t="s">
        <v>278</v>
      </c>
      <c r="B90" s="981" t="s">
        <v>3</v>
      </c>
      <c r="C90" s="981" t="s">
        <v>86</v>
      </c>
      <c r="D90" s="981">
        <v>78</v>
      </c>
      <c r="E90" s="981">
        <v>58</v>
      </c>
      <c r="F90" s="981">
        <v>20</v>
      </c>
    </row>
    <row r="91" spans="1:6" x14ac:dyDescent="0.25">
      <c r="A91" s="981" t="s">
        <v>278</v>
      </c>
      <c r="B91" s="981" t="s">
        <v>3</v>
      </c>
      <c r="C91" s="981" t="s">
        <v>84</v>
      </c>
      <c r="D91" s="981">
        <v>42</v>
      </c>
      <c r="E91" s="981">
        <v>17</v>
      </c>
      <c r="F91" s="981">
        <v>25</v>
      </c>
    </row>
    <row r="92" spans="1:6" x14ac:dyDescent="0.25">
      <c r="A92" s="981" t="s">
        <v>278</v>
      </c>
      <c r="B92" s="981" t="s">
        <v>3</v>
      </c>
      <c r="C92" s="981" t="s">
        <v>322</v>
      </c>
      <c r="D92" s="981">
        <v>346</v>
      </c>
      <c r="E92" s="981">
        <v>113</v>
      </c>
      <c r="F92" s="981">
        <v>233</v>
      </c>
    </row>
    <row r="93" spans="1:6" x14ac:dyDescent="0.25">
      <c r="A93" s="981" t="s">
        <v>278</v>
      </c>
      <c r="B93" s="981" t="s">
        <v>3</v>
      </c>
      <c r="C93" s="981" t="s">
        <v>90</v>
      </c>
      <c r="D93" s="981">
        <v>34</v>
      </c>
      <c r="E93" s="981">
        <v>19</v>
      </c>
      <c r="F93" s="981">
        <v>15</v>
      </c>
    </row>
    <row r="94" spans="1:6" x14ac:dyDescent="0.25">
      <c r="A94" s="981" t="s">
        <v>278</v>
      </c>
      <c r="B94" s="981" t="s">
        <v>3</v>
      </c>
      <c r="C94" s="981" t="s">
        <v>88</v>
      </c>
      <c r="D94" s="981">
        <v>165</v>
      </c>
      <c r="E94" s="981">
        <v>98</v>
      </c>
      <c r="F94" s="981">
        <v>67</v>
      </c>
    </row>
    <row r="95" spans="1:6" x14ac:dyDescent="0.25">
      <c r="A95" s="981" t="s">
        <v>278</v>
      </c>
      <c r="B95" s="981" t="s">
        <v>320</v>
      </c>
      <c r="C95" s="981" t="s">
        <v>22</v>
      </c>
      <c r="D95" s="981">
        <v>46</v>
      </c>
      <c r="E95" s="981">
        <v>4</v>
      </c>
      <c r="F95" s="981">
        <v>38</v>
      </c>
    </row>
    <row r="96" spans="1:6" x14ac:dyDescent="0.25">
      <c r="A96" s="981" t="s">
        <v>278</v>
      </c>
      <c r="B96" s="981" t="s">
        <v>320</v>
      </c>
      <c r="C96" s="981" t="s">
        <v>23</v>
      </c>
      <c r="D96" s="981">
        <v>260</v>
      </c>
      <c r="E96" s="981">
        <v>40</v>
      </c>
      <c r="F96" s="981">
        <v>198</v>
      </c>
    </row>
    <row r="97" spans="1:6" x14ac:dyDescent="0.25">
      <c r="A97" s="981" t="s">
        <v>278</v>
      </c>
      <c r="B97" s="981" t="s">
        <v>320</v>
      </c>
      <c r="C97" s="981" t="s">
        <v>939</v>
      </c>
      <c r="D97" s="981">
        <v>36</v>
      </c>
      <c r="E97" s="981">
        <v>4</v>
      </c>
      <c r="F97" s="981">
        <v>32</v>
      </c>
    </row>
    <row r="98" spans="1:6" x14ac:dyDescent="0.25">
      <c r="A98" s="981" t="s">
        <v>278</v>
      </c>
      <c r="B98" s="981" t="s">
        <v>321</v>
      </c>
      <c r="C98" s="981" t="s">
        <v>18</v>
      </c>
      <c r="D98" s="981">
        <v>34</v>
      </c>
      <c r="E98" s="981">
        <v>0</v>
      </c>
      <c r="F98" s="981">
        <v>34</v>
      </c>
    </row>
    <row r="99" spans="1:6" x14ac:dyDescent="0.25">
      <c r="A99" s="981" t="s">
        <v>278</v>
      </c>
      <c r="B99" s="981" t="s">
        <v>321</v>
      </c>
      <c r="C99" s="981" t="s">
        <v>212</v>
      </c>
      <c r="D99" s="981">
        <v>4</v>
      </c>
      <c r="E99" s="981">
        <v>0</v>
      </c>
      <c r="F99" s="981">
        <v>4</v>
      </c>
    </row>
    <row r="100" spans="1:6" x14ac:dyDescent="0.25">
      <c r="A100" s="981" t="s">
        <v>278</v>
      </c>
      <c r="B100" s="981" t="s">
        <v>321</v>
      </c>
      <c r="C100" s="981" t="s">
        <v>22</v>
      </c>
      <c r="D100" s="981">
        <v>635</v>
      </c>
      <c r="E100" s="981">
        <v>29</v>
      </c>
      <c r="F100" s="981">
        <v>606</v>
      </c>
    </row>
    <row r="101" spans="1:6" x14ac:dyDescent="0.25">
      <c r="A101" s="981" t="s">
        <v>278</v>
      </c>
      <c r="B101" s="981" t="s">
        <v>321</v>
      </c>
      <c r="C101" s="981" t="s">
        <v>23</v>
      </c>
      <c r="D101" s="981">
        <v>2161</v>
      </c>
      <c r="E101" s="981">
        <v>122</v>
      </c>
      <c r="F101" s="981">
        <v>2039</v>
      </c>
    </row>
    <row r="102" spans="1:6" x14ac:dyDescent="0.25">
      <c r="A102" s="981" t="s">
        <v>278</v>
      </c>
      <c r="B102" s="981" t="s">
        <v>321</v>
      </c>
      <c r="C102" s="981" t="s">
        <v>19</v>
      </c>
      <c r="D102" s="981">
        <v>70</v>
      </c>
      <c r="E102" s="981">
        <v>2</v>
      </c>
      <c r="F102" s="981">
        <v>68</v>
      </c>
    </row>
    <row r="103" spans="1:6" x14ac:dyDescent="0.25">
      <c r="A103" s="981" t="s">
        <v>278</v>
      </c>
      <c r="B103" s="981" t="s">
        <v>321</v>
      </c>
      <c r="C103" s="981" t="s">
        <v>20</v>
      </c>
      <c r="D103" s="981">
        <v>151</v>
      </c>
      <c r="E103" s="981">
        <v>2</v>
      </c>
      <c r="F103" s="981">
        <v>149</v>
      </c>
    </row>
    <row r="104" spans="1:6" x14ac:dyDescent="0.25">
      <c r="A104" s="981" t="s">
        <v>278</v>
      </c>
      <c r="B104" s="981" t="s">
        <v>321</v>
      </c>
      <c r="C104" s="981" t="s">
        <v>21</v>
      </c>
      <c r="D104" s="981">
        <v>590</v>
      </c>
      <c r="E104" s="981">
        <v>23</v>
      </c>
      <c r="F104" s="981">
        <v>567</v>
      </c>
    </row>
    <row r="105" spans="1:6" x14ac:dyDescent="0.25">
      <c r="A105" s="981" t="s">
        <v>259</v>
      </c>
      <c r="B105" s="981" t="s">
        <v>2</v>
      </c>
      <c r="C105" s="981" t="s">
        <v>22</v>
      </c>
      <c r="D105" s="981">
        <v>27</v>
      </c>
      <c r="E105" s="981">
        <v>23</v>
      </c>
      <c r="F105" s="981">
        <v>4</v>
      </c>
    </row>
    <row r="106" spans="1:6" x14ac:dyDescent="0.25">
      <c r="A106" s="981" t="s">
        <v>259</v>
      </c>
      <c r="B106" s="981" t="s">
        <v>2</v>
      </c>
      <c r="C106" s="981" t="s">
        <v>23</v>
      </c>
      <c r="D106" s="981">
        <v>106</v>
      </c>
      <c r="E106" s="981">
        <v>88</v>
      </c>
      <c r="F106" s="981">
        <v>18</v>
      </c>
    </row>
    <row r="107" spans="1:6" x14ac:dyDescent="0.25">
      <c r="A107" s="981" t="s">
        <v>259</v>
      </c>
      <c r="B107" s="981" t="s">
        <v>2</v>
      </c>
      <c r="C107" s="981" t="s">
        <v>19</v>
      </c>
      <c r="D107" s="981">
        <v>5</v>
      </c>
      <c r="E107" s="981">
        <v>4</v>
      </c>
      <c r="F107" s="981">
        <v>1</v>
      </c>
    </row>
    <row r="108" spans="1:6" x14ac:dyDescent="0.25">
      <c r="A108" s="981" t="s">
        <v>259</v>
      </c>
      <c r="B108" s="981" t="s">
        <v>2</v>
      </c>
      <c r="C108" s="981" t="s">
        <v>20</v>
      </c>
      <c r="D108" s="981">
        <v>8</v>
      </c>
      <c r="E108" s="981">
        <v>7</v>
      </c>
      <c r="F108" s="981">
        <v>1</v>
      </c>
    </row>
    <row r="109" spans="1:6" x14ac:dyDescent="0.25">
      <c r="A109" s="981" t="s">
        <v>259</v>
      </c>
      <c r="B109" s="981" t="s">
        <v>2</v>
      </c>
      <c r="C109" s="981" t="s">
        <v>21</v>
      </c>
      <c r="D109" s="981">
        <v>43</v>
      </c>
      <c r="E109" s="981">
        <v>36</v>
      </c>
      <c r="F109" s="981">
        <v>7</v>
      </c>
    </row>
    <row r="110" spans="1:6" x14ac:dyDescent="0.25">
      <c r="A110" s="981" t="s">
        <v>259</v>
      </c>
      <c r="B110" s="981" t="s">
        <v>9</v>
      </c>
      <c r="C110" s="981" t="s">
        <v>22</v>
      </c>
      <c r="D110" s="981">
        <v>525</v>
      </c>
      <c r="E110" s="981">
        <v>19</v>
      </c>
      <c r="F110" s="981">
        <v>506</v>
      </c>
    </row>
    <row r="111" spans="1:6" x14ac:dyDescent="0.25">
      <c r="A111" s="981" t="s">
        <v>259</v>
      </c>
      <c r="B111" s="981" t="s">
        <v>9</v>
      </c>
      <c r="C111" s="981" t="s">
        <v>23</v>
      </c>
      <c r="D111" s="981">
        <v>2077</v>
      </c>
      <c r="E111" s="981">
        <v>138</v>
      </c>
      <c r="F111" s="981">
        <v>1939</v>
      </c>
    </row>
    <row r="112" spans="1:6" x14ac:dyDescent="0.25">
      <c r="A112" s="981" t="s">
        <v>259</v>
      </c>
      <c r="B112" s="981" t="s">
        <v>9</v>
      </c>
      <c r="C112" s="981" t="s">
        <v>21</v>
      </c>
      <c r="D112" s="981">
        <v>261</v>
      </c>
      <c r="E112" s="981">
        <v>14</v>
      </c>
      <c r="F112" s="981">
        <v>247</v>
      </c>
    </row>
    <row r="113" spans="1:6" x14ac:dyDescent="0.25">
      <c r="A113" s="981" t="s">
        <v>259</v>
      </c>
      <c r="B113" s="981" t="s">
        <v>3</v>
      </c>
      <c r="C113" s="981" t="s">
        <v>101</v>
      </c>
      <c r="D113" s="981">
        <v>164</v>
      </c>
      <c r="E113" s="981">
        <v>155</v>
      </c>
      <c r="F113" s="981">
        <v>9</v>
      </c>
    </row>
    <row r="114" spans="1:6" x14ac:dyDescent="0.25">
      <c r="A114" s="981" t="s">
        <v>259</v>
      </c>
      <c r="B114" s="981" t="s">
        <v>3</v>
      </c>
      <c r="C114" s="981" t="s">
        <v>213</v>
      </c>
      <c r="D114" s="981">
        <v>2</v>
      </c>
      <c r="E114" s="981">
        <v>1</v>
      </c>
      <c r="F114" s="981">
        <v>1</v>
      </c>
    </row>
    <row r="115" spans="1:6" x14ac:dyDescent="0.25">
      <c r="A115" s="981" t="s">
        <v>259</v>
      </c>
      <c r="B115" s="981" t="s">
        <v>3</v>
      </c>
      <c r="C115" s="981" t="s">
        <v>86</v>
      </c>
      <c r="D115" s="981">
        <v>79</v>
      </c>
      <c r="E115" s="981">
        <v>57</v>
      </c>
      <c r="F115" s="981">
        <v>22</v>
      </c>
    </row>
    <row r="116" spans="1:6" x14ac:dyDescent="0.25">
      <c r="A116" s="981" t="s">
        <v>259</v>
      </c>
      <c r="B116" s="981" t="s">
        <v>3</v>
      </c>
      <c r="C116" s="981" t="s">
        <v>84</v>
      </c>
      <c r="D116" s="981">
        <v>50</v>
      </c>
      <c r="E116" s="981">
        <v>17</v>
      </c>
      <c r="F116" s="981">
        <v>33</v>
      </c>
    </row>
    <row r="117" spans="1:6" x14ac:dyDescent="0.25">
      <c r="A117" s="981" t="s">
        <v>259</v>
      </c>
      <c r="B117" s="981" t="s">
        <v>3</v>
      </c>
      <c r="C117" s="981" t="s">
        <v>322</v>
      </c>
      <c r="D117" s="981">
        <v>366</v>
      </c>
      <c r="E117" s="981">
        <v>139</v>
      </c>
      <c r="F117" s="981">
        <v>227</v>
      </c>
    </row>
    <row r="118" spans="1:6" x14ac:dyDescent="0.25">
      <c r="A118" s="981" t="s">
        <v>259</v>
      </c>
      <c r="B118" s="981" t="s">
        <v>3</v>
      </c>
      <c r="C118" s="981" t="s">
        <v>90</v>
      </c>
      <c r="D118" s="981">
        <v>32</v>
      </c>
      <c r="E118" s="981">
        <v>19</v>
      </c>
      <c r="F118" s="981">
        <v>13</v>
      </c>
    </row>
    <row r="119" spans="1:6" x14ac:dyDescent="0.25">
      <c r="A119" s="981" t="s">
        <v>259</v>
      </c>
      <c r="B119" s="981" t="s">
        <v>3</v>
      </c>
      <c r="C119" s="981" t="s">
        <v>323</v>
      </c>
      <c r="D119" s="981">
        <v>153</v>
      </c>
      <c r="E119" s="981">
        <v>88</v>
      </c>
      <c r="F119" s="981">
        <v>65</v>
      </c>
    </row>
    <row r="120" spans="1:6" x14ac:dyDescent="0.25">
      <c r="A120" s="981" t="s">
        <v>259</v>
      </c>
      <c r="B120" s="981" t="s">
        <v>320</v>
      </c>
      <c r="C120" s="981" t="s">
        <v>22</v>
      </c>
      <c r="D120" s="981">
        <v>39</v>
      </c>
      <c r="E120" s="981">
        <v>3</v>
      </c>
      <c r="F120" s="981">
        <v>36</v>
      </c>
    </row>
    <row r="121" spans="1:6" x14ac:dyDescent="0.25">
      <c r="A121" s="981" t="s">
        <v>259</v>
      </c>
      <c r="B121" s="981" t="s">
        <v>320</v>
      </c>
      <c r="C121" s="981" t="s">
        <v>23</v>
      </c>
      <c r="D121" s="981">
        <v>256</v>
      </c>
      <c r="E121" s="981">
        <v>47</v>
      </c>
      <c r="F121" s="981">
        <v>209</v>
      </c>
    </row>
    <row r="122" spans="1:6" x14ac:dyDescent="0.25">
      <c r="A122" s="981" t="s">
        <v>259</v>
      </c>
      <c r="B122" s="981" t="s">
        <v>320</v>
      </c>
      <c r="C122" s="981" t="s">
        <v>21</v>
      </c>
      <c r="D122" s="981">
        <v>37</v>
      </c>
      <c r="E122" s="981">
        <v>5</v>
      </c>
      <c r="F122" s="981">
        <v>32</v>
      </c>
    </row>
    <row r="123" spans="1:6" x14ac:dyDescent="0.25">
      <c r="A123" s="981" t="s">
        <v>259</v>
      </c>
      <c r="B123" s="981" t="s">
        <v>321</v>
      </c>
      <c r="C123" s="981" t="s">
        <v>18</v>
      </c>
      <c r="D123" s="981">
        <v>34</v>
      </c>
      <c r="E123" s="981"/>
      <c r="F123" s="981">
        <v>34</v>
      </c>
    </row>
    <row r="124" spans="1:6" x14ac:dyDescent="0.25">
      <c r="A124" s="981" t="s">
        <v>259</v>
      </c>
      <c r="B124" s="981" t="s">
        <v>321</v>
      </c>
      <c r="C124" s="981" t="s">
        <v>212</v>
      </c>
      <c r="D124" s="981">
        <v>4</v>
      </c>
      <c r="E124" s="981"/>
      <c r="F124" s="981">
        <v>4</v>
      </c>
    </row>
    <row r="125" spans="1:6" x14ac:dyDescent="0.25">
      <c r="A125" s="981" t="s">
        <v>259</v>
      </c>
      <c r="B125" s="981" t="s">
        <v>321</v>
      </c>
      <c r="C125" s="981" t="s">
        <v>22</v>
      </c>
      <c r="D125" s="981">
        <v>689</v>
      </c>
      <c r="E125" s="981">
        <v>26</v>
      </c>
      <c r="F125" s="981">
        <v>663</v>
      </c>
    </row>
    <row r="126" spans="1:6" x14ac:dyDescent="0.25">
      <c r="A126" s="981" t="s">
        <v>259</v>
      </c>
      <c r="B126" s="981" t="s">
        <v>321</v>
      </c>
      <c r="C126" s="981" t="s">
        <v>23</v>
      </c>
      <c r="D126" s="981">
        <v>1989</v>
      </c>
      <c r="E126" s="981">
        <v>114</v>
      </c>
      <c r="F126" s="981">
        <v>1875</v>
      </c>
    </row>
    <row r="127" spans="1:6" x14ac:dyDescent="0.25">
      <c r="A127" s="981" t="s">
        <v>259</v>
      </c>
      <c r="B127" s="981" t="s">
        <v>321</v>
      </c>
      <c r="C127" s="981" t="s">
        <v>19</v>
      </c>
      <c r="D127" s="981">
        <v>74</v>
      </c>
      <c r="E127" s="981">
        <v>2</v>
      </c>
      <c r="F127" s="981">
        <v>72</v>
      </c>
    </row>
    <row r="128" spans="1:6" x14ac:dyDescent="0.25">
      <c r="A128" s="981" t="s">
        <v>259</v>
      </c>
      <c r="B128" s="981" t="s">
        <v>321</v>
      </c>
      <c r="C128" s="981" t="s">
        <v>20</v>
      </c>
      <c r="D128" s="981">
        <v>153</v>
      </c>
      <c r="E128" s="981">
        <v>2</v>
      </c>
      <c r="F128" s="981">
        <v>151</v>
      </c>
    </row>
    <row r="129" spans="1:6" x14ac:dyDescent="0.25">
      <c r="A129" s="981" t="s">
        <v>259</v>
      </c>
      <c r="B129" s="981" t="s">
        <v>321</v>
      </c>
      <c r="C129" s="981" t="s">
        <v>21</v>
      </c>
      <c r="D129" s="981">
        <v>603</v>
      </c>
      <c r="E129" s="981">
        <v>31</v>
      </c>
      <c r="F129" s="981">
        <v>572</v>
      </c>
    </row>
    <row r="130" spans="1:6" x14ac:dyDescent="0.25">
      <c r="A130" s="981" t="s">
        <v>258</v>
      </c>
      <c r="B130" s="981" t="s">
        <v>2</v>
      </c>
      <c r="C130" s="981" t="s">
        <v>18</v>
      </c>
      <c r="D130" s="981">
        <v>1</v>
      </c>
      <c r="E130" s="981">
        <v>1</v>
      </c>
      <c r="F130" s="981"/>
    </row>
    <row r="131" spans="1:6" x14ac:dyDescent="0.25">
      <c r="A131" s="981" t="s">
        <v>258</v>
      </c>
      <c r="B131" s="981" t="s">
        <v>2</v>
      </c>
      <c r="C131" s="981" t="s">
        <v>22</v>
      </c>
      <c r="D131" s="981">
        <v>27</v>
      </c>
      <c r="E131" s="981">
        <v>21</v>
      </c>
      <c r="F131" s="981">
        <v>6</v>
      </c>
    </row>
    <row r="132" spans="1:6" x14ac:dyDescent="0.25">
      <c r="A132" s="981" t="s">
        <v>258</v>
      </c>
      <c r="B132" s="981" t="s">
        <v>2</v>
      </c>
      <c r="C132" s="981" t="s">
        <v>23</v>
      </c>
      <c r="D132" s="981">
        <v>124</v>
      </c>
      <c r="E132" s="981">
        <v>103</v>
      </c>
      <c r="F132" s="981">
        <v>21</v>
      </c>
    </row>
    <row r="133" spans="1:6" x14ac:dyDescent="0.25">
      <c r="A133" s="981" t="s">
        <v>258</v>
      </c>
      <c r="B133" s="981" t="s">
        <v>2</v>
      </c>
      <c r="C133" s="981" t="s">
        <v>19</v>
      </c>
      <c r="D133" s="981">
        <v>4</v>
      </c>
      <c r="E133" s="981">
        <v>3</v>
      </c>
      <c r="F133" s="981">
        <v>1</v>
      </c>
    </row>
    <row r="134" spans="1:6" x14ac:dyDescent="0.25">
      <c r="A134" s="981" t="s">
        <v>258</v>
      </c>
      <c r="B134" s="981" t="s">
        <v>2</v>
      </c>
      <c r="C134" s="981" t="s">
        <v>20</v>
      </c>
      <c r="D134" s="981">
        <v>9</v>
      </c>
      <c r="E134" s="981">
        <v>8</v>
      </c>
      <c r="F134" s="981">
        <v>1</v>
      </c>
    </row>
    <row r="135" spans="1:6" x14ac:dyDescent="0.25">
      <c r="A135" s="981" t="s">
        <v>258</v>
      </c>
      <c r="B135" s="981" t="s">
        <v>2</v>
      </c>
      <c r="C135" s="981" t="s">
        <v>21</v>
      </c>
      <c r="D135" s="981">
        <v>42</v>
      </c>
      <c r="E135" s="981">
        <v>36</v>
      </c>
      <c r="F135" s="981">
        <v>6</v>
      </c>
    </row>
    <row r="136" spans="1:6" x14ac:dyDescent="0.25">
      <c r="A136" s="981" t="s">
        <v>258</v>
      </c>
      <c r="B136" s="981" t="s">
        <v>9</v>
      </c>
      <c r="C136" s="981" t="s">
        <v>22</v>
      </c>
      <c r="D136" s="981">
        <v>533</v>
      </c>
      <c r="E136" s="981">
        <v>20</v>
      </c>
      <c r="F136" s="981">
        <v>513</v>
      </c>
    </row>
    <row r="137" spans="1:6" x14ac:dyDescent="0.25">
      <c r="A137" s="981" t="s">
        <v>258</v>
      </c>
      <c r="B137" s="981" t="s">
        <v>9</v>
      </c>
      <c r="C137" s="981" t="s">
        <v>23</v>
      </c>
      <c r="D137" s="981">
        <v>2141</v>
      </c>
      <c r="E137" s="981">
        <v>168</v>
      </c>
      <c r="F137" s="981">
        <v>1973</v>
      </c>
    </row>
    <row r="138" spans="1:6" x14ac:dyDescent="0.25">
      <c r="A138" s="981" t="s">
        <v>258</v>
      </c>
      <c r="B138" s="981" t="s">
        <v>9</v>
      </c>
      <c r="C138" s="981" t="s">
        <v>21</v>
      </c>
      <c r="D138" s="981">
        <v>279</v>
      </c>
      <c r="E138" s="981">
        <v>14</v>
      </c>
      <c r="F138" s="981">
        <v>265</v>
      </c>
    </row>
    <row r="139" spans="1:6" x14ac:dyDescent="0.25">
      <c r="A139" s="981" t="s">
        <v>258</v>
      </c>
      <c r="B139" s="981" t="s">
        <v>3</v>
      </c>
      <c r="C139" s="981" t="s">
        <v>101</v>
      </c>
      <c r="D139" s="981">
        <v>170</v>
      </c>
      <c r="E139" s="981">
        <v>159</v>
      </c>
      <c r="F139" s="981">
        <v>11</v>
      </c>
    </row>
    <row r="140" spans="1:6" x14ac:dyDescent="0.25">
      <c r="A140" s="981" t="s">
        <v>258</v>
      </c>
      <c r="B140" s="981" t="s">
        <v>3</v>
      </c>
      <c r="C140" s="981" t="s">
        <v>213</v>
      </c>
      <c r="D140" s="981">
        <v>3</v>
      </c>
      <c r="E140" s="981">
        <v>2</v>
      </c>
      <c r="F140" s="981">
        <v>1</v>
      </c>
    </row>
    <row r="141" spans="1:6" x14ac:dyDescent="0.25">
      <c r="A141" s="981" t="s">
        <v>258</v>
      </c>
      <c r="B141" s="981" t="s">
        <v>3</v>
      </c>
      <c r="C141" s="981" t="s">
        <v>86</v>
      </c>
      <c r="D141" s="981">
        <v>84</v>
      </c>
      <c r="E141" s="981">
        <v>58</v>
      </c>
      <c r="F141" s="981">
        <v>26</v>
      </c>
    </row>
    <row r="142" spans="1:6" x14ac:dyDescent="0.25">
      <c r="A142" s="981" t="s">
        <v>258</v>
      </c>
      <c r="B142" s="981" t="s">
        <v>3</v>
      </c>
      <c r="C142" s="981" t="s">
        <v>84</v>
      </c>
      <c r="D142" s="981">
        <v>49</v>
      </c>
      <c r="E142" s="981">
        <v>15</v>
      </c>
      <c r="F142" s="981">
        <v>34</v>
      </c>
    </row>
    <row r="143" spans="1:6" x14ac:dyDescent="0.25">
      <c r="A143" s="981" t="s">
        <v>258</v>
      </c>
      <c r="B143" s="981" t="s">
        <v>3</v>
      </c>
      <c r="C143" s="981" t="s">
        <v>322</v>
      </c>
      <c r="D143" s="981">
        <v>388</v>
      </c>
      <c r="E143" s="981">
        <v>146</v>
      </c>
      <c r="F143" s="981">
        <v>242</v>
      </c>
    </row>
    <row r="144" spans="1:6" x14ac:dyDescent="0.25">
      <c r="A144" s="981" t="s">
        <v>258</v>
      </c>
      <c r="B144" s="981" t="s">
        <v>3</v>
      </c>
      <c r="C144" s="981" t="s">
        <v>90</v>
      </c>
      <c r="D144" s="981">
        <v>34</v>
      </c>
      <c r="E144" s="981">
        <v>21</v>
      </c>
      <c r="F144" s="981">
        <v>13</v>
      </c>
    </row>
    <row r="145" spans="1:6" x14ac:dyDescent="0.25">
      <c r="A145" s="981" t="s">
        <v>258</v>
      </c>
      <c r="B145" s="981" t="s">
        <v>3</v>
      </c>
      <c r="C145" s="981" t="s">
        <v>323</v>
      </c>
      <c r="D145" s="981">
        <v>64</v>
      </c>
      <c r="E145" s="981">
        <v>26</v>
      </c>
      <c r="F145" s="981">
        <v>38</v>
      </c>
    </row>
    <row r="146" spans="1:6" x14ac:dyDescent="0.25">
      <c r="A146" s="981" t="s">
        <v>258</v>
      </c>
      <c r="B146" s="981" t="s">
        <v>320</v>
      </c>
      <c r="C146" s="981" t="s">
        <v>22</v>
      </c>
      <c r="D146" s="981">
        <v>40</v>
      </c>
      <c r="E146" s="981">
        <v>3</v>
      </c>
      <c r="F146" s="981">
        <v>37</v>
      </c>
    </row>
    <row r="147" spans="1:6" x14ac:dyDescent="0.25">
      <c r="A147" s="981" t="s">
        <v>258</v>
      </c>
      <c r="B147" s="981" t="s">
        <v>320</v>
      </c>
      <c r="C147" s="981" t="s">
        <v>23</v>
      </c>
      <c r="D147" s="981">
        <v>240</v>
      </c>
      <c r="E147" s="981">
        <v>46</v>
      </c>
      <c r="F147" s="981">
        <v>194</v>
      </c>
    </row>
    <row r="148" spans="1:6" x14ac:dyDescent="0.25">
      <c r="A148" s="981" t="s">
        <v>258</v>
      </c>
      <c r="B148" s="981" t="s">
        <v>320</v>
      </c>
      <c r="C148" s="981" t="s">
        <v>21</v>
      </c>
      <c r="D148" s="981">
        <v>37</v>
      </c>
      <c r="E148" s="981">
        <v>5</v>
      </c>
      <c r="F148" s="981">
        <v>32</v>
      </c>
    </row>
    <row r="149" spans="1:6" x14ac:dyDescent="0.25">
      <c r="A149" s="981" t="s">
        <v>258</v>
      </c>
      <c r="B149" s="981" t="s">
        <v>321</v>
      </c>
      <c r="C149" s="981" t="s">
        <v>18</v>
      </c>
      <c r="D149" s="981">
        <v>33</v>
      </c>
      <c r="E149" s="981"/>
      <c r="F149" s="981">
        <v>33</v>
      </c>
    </row>
    <row r="150" spans="1:6" x14ac:dyDescent="0.25">
      <c r="A150" s="981" t="s">
        <v>258</v>
      </c>
      <c r="B150" s="981" t="s">
        <v>321</v>
      </c>
      <c r="C150" s="981" t="s">
        <v>212</v>
      </c>
      <c r="D150" s="981">
        <v>4</v>
      </c>
      <c r="E150" s="981"/>
      <c r="F150" s="981">
        <v>4</v>
      </c>
    </row>
    <row r="151" spans="1:6" x14ac:dyDescent="0.25">
      <c r="A151" s="981" t="s">
        <v>258</v>
      </c>
      <c r="B151" s="981" t="s">
        <v>321</v>
      </c>
      <c r="C151" s="981" t="s">
        <v>22</v>
      </c>
      <c r="D151" s="981">
        <v>687</v>
      </c>
      <c r="E151" s="981">
        <v>27</v>
      </c>
      <c r="F151" s="981">
        <v>660</v>
      </c>
    </row>
    <row r="152" spans="1:6" x14ac:dyDescent="0.25">
      <c r="A152" s="981" t="s">
        <v>258</v>
      </c>
      <c r="B152" s="981" t="s">
        <v>321</v>
      </c>
      <c r="C152" s="981" t="s">
        <v>23</v>
      </c>
      <c r="D152" s="981">
        <v>2075</v>
      </c>
      <c r="E152" s="981">
        <v>132</v>
      </c>
      <c r="F152" s="981">
        <v>1943</v>
      </c>
    </row>
    <row r="153" spans="1:6" x14ac:dyDescent="0.25">
      <c r="A153" s="981" t="s">
        <v>258</v>
      </c>
      <c r="B153" s="981" t="s">
        <v>321</v>
      </c>
      <c r="C153" s="981" t="s">
        <v>19</v>
      </c>
      <c r="D153" s="981">
        <v>80</v>
      </c>
      <c r="E153" s="981">
        <v>2</v>
      </c>
      <c r="F153" s="981">
        <v>78</v>
      </c>
    </row>
    <row r="154" spans="1:6" x14ac:dyDescent="0.25">
      <c r="A154" s="981" t="s">
        <v>258</v>
      </c>
      <c r="B154" s="981" t="s">
        <v>321</v>
      </c>
      <c r="C154" s="981" t="s">
        <v>20</v>
      </c>
      <c r="D154" s="981">
        <v>147</v>
      </c>
      <c r="E154" s="981">
        <v>2</v>
      </c>
      <c r="F154" s="981">
        <v>145</v>
      </c>
    </row>
    <row r="155" spans="1:6" x14ac:dyDescent="0.25">
      <c r="A155" s="981" t="s">
        <v>258</v>
      </c>
      <c r="B155" s="981" t="s">
        <v>321</v>
      </c>
      <c r="C155" s="981" t="s">
        <v>21</v>
      </c>
      <c r="D155" s="981">
        <v>611</v>
      </c>
      <c r="E155" s="981">
        <v>33</v>
      </c>
      <c r="F155" s="981">
        <v>578</v>
      </c>
    </row>
  </sheetData>
  <mergeCells count="1">
    <mergeCell ref="A2:B2"/>
  </mergeCells>
  <pageMargins left="0.7" right="0.7" top="0.75" bottom="0.75" header="0.3" footer="0.3"/>
  <pageSetup paperSize="9" fitToHeight="50"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E34"/>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1" spans="1:5" ht="15.75" x14ac:dyDescent="0.25">
      <c r="A1" s="982" t="s">
        <v>942</v>
      </c>
    </row>
    <row r="2" spans="1:5" x14ac:dyDescent="0.25">
      <c r="A2" s="1047">
        <v>43700</v>
      </c>
      <c r="B2" s="1048"/>
    </row>
    <row r="4" spans="1:5" x14ac:dyDescent="0.25">
      <c r="A4" s="980" t="s">
        <v>274</v>
      </c>
      <c r="B4" s="980" t="s">
        <v>897</v>
      </c>
      <c r="C4" s="980" t="s">
        <v>26</v>
      </c>
      <c r="D4" s="980" t="s">
        <v>95</v>
      </c>
      <c r="E4" s="980" t="s">
        <v>96</v>
      </c>
    </row>
    <row r="5" spans="1:5" x14ac:dyDescent="0.25">
      <c r="A5" s="981" t="s">
        <v>207</v>
      </c>
      <c r="B5" s="981" t="s">
        <v>2</v>
      </c>
      <c r="C5" s="981">
        <v>223</v>
      </c>
      <c r="D5" s="981">
        <v>199</v>
      </c>
      <c r="E5" s="981">
        <v>24</v>
      </c>
    </row>
    <row r="6" spans="1:5" x14ac:dyDescent="0.25">
      <c r="A6" s="981" t="s">
        <v>207</v>
      </c>
      <c r="B6" s="981" t="s">
        <v>9</v>
      </c>
      <c r="C6" s="981">
        <v>2940</v>
      </c>
      <c r="D6" s="981">
        <v>178</v>
      </c>
      <c r="E6" s="981">
        <v>2762</v>
      </c>
    </row>
    <row r="7" spans="1:5" x14ac:dyDescent="0.25">
      <c r="A7" s="981" t="s">
        <v>207</v>
      </c>
      <c r="B7" s="981" t="s">
        <v>3</v>
      </c>
      <c r="C7" s="981">
        <v>961</v>
      </c>
      <c r="D7" s="981">
        <v>545</v>
      </c>
      <c r="E7" s="981">
        <v>416</v>
      </c>
    </row>
    <row r="8" spans="1:5" x14ac:dyDescent="0.25">
      <c r="A8" s="981" t="s">
        <v>207</v>
      </c>
      <c r="B8" s="981" t="s">
        <v>320</v>
      </c>
      <c r="C8" s="981">
        <v>359</v>
      </c>
      <c r="D8" s="981">
        <v>52</v>
      </c>
      <c r="E8" s="981">
        <v>307</v>
      </c>
    </row>
    <row r="9" spans="1:5" x14ac:dyDescent="0.25">
      <c r="A9" s="981" t="s">
        <v>207</v>
      </c>
      <c r="B9" s="981" t="s">
        <v>321</v>
      </c>
      <c r="C9" s="981">
        <v>4001</v>
      </c>
      <c r="D9" s="981">
        <v>159</v>
      </c>
      <c r="E9" s="981">
        <v>3842</v>
      </c>
    </row>
    <row r="10" spans="1:5" x14ac:dyDescent="0.25">
      <c r="A10" s="981" t="s">
        <v>206</v>
      </c>
      <c r="B10" s="981" t="s">
        <v>2</v>
      </c>
      <c r="C10" s="981">
        <v>230</v>
      </c>
      <c r="D10" s="981">
        <v>192</v>
      </c>
      <c r="E10" s="981">
        <v>38</v>
      </c>
    </row>
    <row r="11" spans="1:5" x14ac:dyDescent="0.25">
      <c r="A11" s="981" t="s">
        <v>206</v>
      </c>
      <c r="B11" s="981" t="s">
        <v>9</v>
      </c>
      <c r="C11" s="981">
        <v>2950</v>
      </c>
      <c r="D11" s="981">
        <v>172</v>
      </c>
      <c r="E11" s="981">
        <v>2778</v>
      </c>
    </row>
    <row r="12" spans="1:5" x14ac:dyDescent="0.25">
      <c r="A12" s="981" t="s">
        <v>206</v>
      </c>
      <c r="B12" s="981" t="s">
        <v>3</v>
      </c>
      <c r="C12" s="981">
        <v>867</v>
      </c>
      <c r="D12" s="981">
        <v>480</v>
      </c>
      <c r="E12" s="981">
        <v>387</v>
      </c>
    </row>
    <row r="13" spans="1:5" x14ac:dyDescent="0.25">
      <c r="A13" s="981" t="s">
        <v>206</v>
      </c>
      <c r="B13" s="981" t="s">
        <v>320</v>
      </c>
      <c r="C13" s="981">
        <v>378</v>
      </c>
      <c r="D13" s="981">
        <v>56</v>
      </c>
      <c r="E13" s="981">
        <v>322</v>
      </c>
    </row>
    <row r="14" spans="1:5" x14ac:dyDescent="0.25">
      <c r="A14" s="981" t="s">
        <v>206</v>
      </c>
      <c r="B14" s="981" t="s">
        <v>321</v>
      </c>
      <c r="C14" s="981">
        <v>3856</v>
      </c>
      <c r="D14" s="981">
        <v>164</v>
      </c>
      <c r="E14" s="981">
        <v>3692</v>
      </c>
    </row>
    <row r="15" spans="1:5" x14ac:dyDescent="0.25">
      <c r="A15" s="981" t="s">
        <v>205</v>
      </c>
      <c r="B15" s="981" t="s">
        <v>2</v>
      </c>
      <c r="C15" s="981">
        <v>203</v>
      </c>
      <c r="D15" s="981">
        <v>171</v>
      </c>
      <c r="E15" s="981">
        <v>32</v>
      </c>
    </row>
    <row r="16" spans="1:5" x14ac:dyDescent="0.25">
      <c r="A16" s="981" t="s">
        <v>205</v>
      </c>
      <c r="B16" s="981" t="s">
        <v>9</v>
      </c>
      <c r="C16" s="981">
        <v>2870</v>
      </c>
      <c r="D16" s="981">
        <v>163</v>
      </c>
      <c r="E16" s="981">
        <v>2707</v>
      </c>
    </row>
    <row r="17" spans="1:5" x14ac:dyDescent="0.25">
      <c r="A17" s="981" t="s">
        <v>205</v>
      </c>
      <c r="B17" s="981" t="s">
        <v>3</v>
      </c>
      <c r="C17" s="981">
        <v>828</v>
      </c>
      <c r="D17" s="981">
        <v>463</v>
      </c>
      <c r="E17" s="981">
        <v>365</v>
      </c>
    </row>
    <row r="18" spans="1:5" x14ac:dyDescent="0.25">
      <c r="A18" s="981" t="s">
        <v>205</v>
      </c>
      <c r="B18" s="981" t="s">
        <v>320</v>
      </c>
      <c r="C18" s="981">
        <v>342</v>
      </c>
      <c r="D18" s="981">
        <v>56</v>
      </c>
      <c r="E18" s="981">
        <v>286</v>
      </c>
    </row>
    <row r="19" spans="1:5" x14ac:dyDescent="0.25">
      <c r="A19" s="981" t="s">
        <v>205</v>
      </c>
      <c r="B19" s="981" t="s">
        <v>321</v>
      </c>
      <c r="C19" s="981">
        <v>3690</v>
      </c>
      <c r="D19" s="981">
        <v>167</v>
      </c>
      <c r="E19" s="981">
        <v>3523</v>
      </c>
    </row>
    <row r="20" spans="1:5" x14ac:dyDescent="0.25">
      <c r="A20" s="981" t="s">
        <v>278</v>
      </c>
      <c r="B20" s="981" t="s">
        <v>2</v>
      </c>
      <c r="C20" s="981">
        <v>165</v>
      </c>
      <c r="D20" s="981">
        <v>139</v>
      </c>
      <c r="E20" s="981">
        <v>26</v>
      </c>
    </row>
    <row r="21" spans="1:5" x14ac:dyDescent="0.25">
      <c r="A21" s="981" t="s">
        <v>278</v>
      </c>
      <c r="B21" s="981" t="s">
        <v>9</v>
      </c>
      <c r="C21" s="981">
        <v>2870</v>
      </c>
      <c r="D21" s="981">
        <v>158</v>
      </c>
      <c r="E21" s="981">
        <v>2712</v>
      </c>
    </row>
    <row r="22" spans="1:5" x14ac:dyDescent="0.25">
      <c r="A22" s="981" t="s">
        <v>278</v>
      </c>
      <c r="B22" s="981" t="s">
        <v>3</v>
      </c>
      <c r="C22" s="981">
        <v>838</v>
      </c>
      <c r="D22" s="981">
        <v>466</v>
      </c>
      <c r="E22" s="981">
        <v>372</v>
      </c>
    </row>
    <row r="23" spans="1:5" x14ac:dyDescent="0.25">
      <c r="A23" s="981" t="s">
        <v>278</v>
      </c>
      <c r="B23" s="981" t="s">
        <v>320</v>
      </c>
      <c r="C23" s="981">
        <v>316</v>
      </c>
      <c r="D23" s="981">
        <v>48</v>
      </c>
      <c r="E23" s="981">
        <v>268</v>
      </c>
    </row>
    <row r="24" spans="1:5" x14ac:dyDescent="0.25">
      <c r="A24" s="981" t="s">
        <v>278</v>
      </c>
      <c r="B24" s="981" t="s">
        <v>321</v>
      </c>
      <c r="C24" s="981">
        <v>3645</v>
      </c>
      <c r="D24" s="981">
        <v>178</v>
      </c>
      <c r="E24" s="981">
        <v>3467</v>
      </c>
    </row>
    <row r="25" spans="1:5" x14ac:dyDescent="0.25">
      <c r="A25" s="981" t="s">
        <v>259</v>
      </c>
      <c r="B25" s="981" t="s">
        <v>2</v>
      </c>
      <c r="C25" s="981">
        <v>189</v>
      </c>
      <c r="D25" s="981">
        <v>158</v>
      </c>
      <c r="E25" s="981">
        <v>31</v>
      </c>
    </row>
    <row r="26" spans="1:5" x14ac:dyDescent="0.25">
      <c r="A26" s="981" t="s">
        <v>259</v>
      </c>
      <c r="B26" s="981" t="s">
        <v>9</v>
      </c>
      <c r="C26" s="981">
        <v>2863</v>
      </c>
      <c r="D26" s="981">
        <v>171</v>
      </c>
      <c r="E26" s="981">
        <v>2692</v>
      </c>
    </row>
    <row r="27" spans="1:5" x14ac:dyDescent="0.25">
      <c r="A27" s="981" t="s">
        <v>259</v>
      </c>
      <c r="B27" s="981" t="s">
        <v>3</v>
      </c>
      <c r="C27" s="981">
        <v>846</v>
      </c>
      <c r="D27" s="981">
        <v>476</v>
      </c>
      <c r="E27" s="981">
        <v>370</v>
      </c>
    </row>
    <row r="28" spans="1:5" x14ac:dyDescent="0.25">
      <c r="A28" s="981" t="s">
        <v>259</v>
      </c>
      <c r="B28" s="981" t="s">
        <v>320</v>
      </c>
      <c r="C28" s="981">
        <v>332</v>
      </c>
      <c r="D28" s="981">
        <v>55</v>
      </c>
      <c r="E28" s="981">
        <v>277</v>
      </c>
    </row>
    <row r="29" spans="1:5" x14ac:dyDescent="0.25">
      <c r="A29" s="981" t="s">
        <v>259</v>
      </c>
      <c r="B29" s="981" t="s">
        <v>321</v>
      </c>
      <c r="C29" s="981">
        <v>3546</v>
      </c>
      <c r="D29" s="981">
        <v>175</v>
      </c>
      <c r="E29" s="981">
        <v>3371</v>
      </c>
    </row>
    <row r="30" spans="1:5" x14ac:dyDescent="0.25">
      <c r="A30" s="981" t="s">
        <v>258</v>
      </c>
      <c r="B30" s="981" t="s">
        <v>2</v>
      </c>
      <c r="C30" s="981">
        <v>207</v>
      </c>
      <c r="D30" s="981">
        <v>172</v>
      </c>
      <c r="E30" s="981">
        <v>35</v>
      </c>
    </row>
    <row r="31" spans="1:5" x14ac:dyDescent="0.25">
      <c r="A31" s="981" t="s">
        <v>258</v>
      </c>
      <c r="B31" s="981" t="s">
        <v>9</v>
      </c>
      <c r="C31" s="981">
        <v>2953</v>
      </c>
      <c r="D31" s="981">
        <v>202</v>
      </c>
      <c r="E31" s="981">
        <v>2751</v>
      </c>
    </row>
    <row r="32" spans="1:5" x14ac:dyDescent="0.25">
      <c r="A32" s="981" t="s">
        <v>258</v>
      </c>
      <c r="B32" s="981" t="s">
        <v>3</v>
      </c>
      <c r="C32" s="981">
        <v>792</v>
      </c>
      <c r="D32" s="981">
        <v>427</v>
      </c>
      <c r="E32" s="981">
        <v>365</v>
      </c>
    </row>
    <row r="33" spans="1:5" x14ac:dyDescent="0.25">
      <c r="A33" s="981" t="s">
        <v>258</v>
      </c>
      <c r="B33" s="981" t="s">
        <v>320</v>
      </c>
      <c r="C33" s="981">
        <v>317</v>
      </c>
      <c r="D33" s="981">
        <v>54</v>
      </c>
      <c r="E33" s="981">
        <v>263</v>
      </c>
    </row>
    <row r="34" spans="1:5" x14ac:dyDescent="0.25">
      <c r="A34" s="981" t="s">
        <v>258</v>
      </c>
      <c r="B34" s="981" t="s">
        <v>321</v>
      </c>
      <c r="C34" s="981">
        <v>3637</v>
      </c>
      <c r="D34" s="981">
        <v>196</v>
      </c>
      <c r="E34" s="981">
        <v>3441</v>
      </c>
    </row>
  </sheetData>
  <mergeCells count="1">
    <mergeCell ref="A2:B2"/>
  </mergeCells>
  <pageMargins left="0.7" right="0.7" top="0.75" bottom="0.75" header="0.3" footer="0.3"/>
  <pageSetup paperSize="9" fitToHeight="50"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F115"/>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1" spans="1:6" ht="15.75" x14ac:dyDescent="0.25">
      <c r="A1" s="982" t="s">
        <v>943</v>
      </c>
    </row>
    <row r="2" spans="1:6" x14ac:dyDescent="0.25">
      <c r="A2" s="1047">
        <v>43700</v>
      </c>
      <c r="B2" s="1048"/>
    </row>
    <row r="4" spans="1:6" x14ac:dyDescent="0.25">
      <c r="A4" s="980" t="s">
        <v>274</v>
      </c>
      <c r="B4" s="980" t="s">
        <v>897</v>
      </c>
      <c r="C4" s="980" t="s">
        <v>940</v>
      </c>
      <c r="D4" s="980" t="s">
        <v>26</v>
      </c>
      <c r="E4" s="980" t="s">
        <v>95</v>
      </c>
      <c r="F4" s="980" t="s">
        <v>96</v>
      </c>
    </row>
    <row r="5" spans="1:6" x14ac:dyDescent="0.25">
      <c r="A5" s="981" t="s">
        <v>207</v>
      </c>
      <c r="B5" s="981" t="s">
        <v>2</v>
      </c>
      <c r="C5" s="981" t="s">
        <v>22</v>
      </c>
      <c r="D5" s="981">
        <v>51.01</v>
      </c>
      <c r="E5" s="981">
        <v>45.01</v>
      </c>
      <c r="F5" s="981">
        <v>6</v>
      </c>
    </row>
    <row r="6" spans="1:6" x14ac:dyDescent="0.25">
      <c r="A6" s="981" t="s">
        <v>207</v>
      </c>
      <c r="B6" s="981" t="s">
        <v>2</v>
      </c>
      <c r="C6" s="981" t="s">
        <v>23</v>
      </c>
      <c r="D6" s="981">
        <v>94.39</v>
      </c>
      <c r="E6" s="981">
        <v>85.39</v>
      </c>
      <c r="F6" s="981">
        <v>9</v>
      </c>
    </row>
    <row r="7" spans="1:6" x14ac:dyDescent="0.25">
      <c r="A7" s="981" t="s">
        <v>207</v>
      </c>
      <c r="B7" s="981" t="s">
        <v>2</v>
      </c>
      <c r="C7" s="981" t="s">
        <v>19</v>
      </c>
      <c r="D7" s="981">
        <v>5</v>
      </c>
      <c r="E7" s="981">
        <v>4</v>
      </c>
      <c r="F7" s="981">
        <v>1</v>
      </c>
    </row>
    <row r="8" spans="1:6" x14ac:dyDescent="0.25">
      <c r="A8" s="981" t="s">
        <v>207</v>
      </c>
      <c r="B8" s="981" t="s">
        <v>2</v>
      </c>
      <c r="C8" s="981" t="s">
        <v>20</v>
      </c>
      <c r="D8" s="981">
        <v>11</v>
      </c>
      <c r="E8" s="981">
        <v>9</v>
      </c>
      <c r="F8" s="981">
        <v>2</v>
      </c>
    </row>
    <row r="9" spans="1:6" x14ac:dyDescent="0.25">
      <c r="A9" s="981" t="s">
        <v>207</v>
      </c>
      <c r="B9" s="981" t="s">
        <v>2</v>
      </c>
      <c r="C9" s="981" t="s">
        <v>21</v>
      </c>
      <c r="D9" s="981">
        <v>51.56</v>
      </c>
      <c r="E9" s="981">
        <v>45.56</v>
      </c>
      <c r="F9" s="981">
        <v>6</v>
      </c>
    </row>
    <row r="10" spans="1:6" x14ac:dyDescent="0.25">
      <c r="A10" s="981" t="s">
        <v>207</v>
      </c>
      <c r="B10" s="981" t="s">
        <v>9</v>
      </c>
      <c r="C10" s="981" t="s">
        <v>22</v>
      </c>
      <c r="D10" s="981">
        <v>489.46</v>
      </c>
      <c r="E10" s="981">
        <v>17.760000000000002</v>
      </c>
      <c r="F10" s="981">
        <v>471.7</v>
      </c>
    </row>
    <row r="11" spans="1:6" x14ac:dyDescent="0.25">
      <c r="A11" s="981" t="s">
        <v>207</v>
      </c>
      <c r="B11" s="981" t="s">
        <v>9</v>
      </c>
      <c r="C11" s="981" t="s">
        <v>23</v>
      </c>
      <c r="D11" s="981">
        <v>1913.55</v>
      </c>
      <c r="E11" s="981">
        <v>132.88999999999999</v>
      </c>
      <c r="F11" s="981">
        <v>1780.66</v>
      </c>
    </row>
    <row r="12" spans="1:6" x14ac:dyDescent="0.25">
      <c r="A12" s="981" t="s">
        <v>207</v>
      </c>
      <c r="B12" s="981" t="s">
        <v>9</v>
      </c>
      <c r="C12" s="981" t="s">
        <v>21</v>
      </c>
      <c r="D12" s="981">
        <v>262.12</v>
      </c>
      <c r="E12" s="981">
        <v>10</v>
      </c>
      <c r="F12" s="981">
        <v>252.12</v>
      </c>
    </row>
    <row r="13" spans="1:6" x14ac:dyDescent="0.25">
      <c r="A13" s="981" t="s">
        <v>207</v>
      </c>
      <c r="B13" s="981" t="s">
        <v>3</v>
      </c>
      <c r="C13" s="981" t="s">
        <v>101</v>
      </c>
      <c r="D13" s="981">
        <v>223.6</v>
      </c>
      <c r="E13" s="981">
        <v>197.5</v>
      </c>
      <c r="F13" s="981">
        <v>26.1</v>
      </c>
    </row>
    <row r="14" spans="1:6" x14ac:dyDescent="0.25">
      <c r="A14" s="981" t="s">
        <v>207</v>
      </c>
      <c r="B14" s="981" t="s">
        <v>3</v>
      </c>
      <c r="C14" s="981" t="s">
        <v>213</v>
      </c>
      <c r="D14" s="981"/>
      <c r="E14" s="981"/>
      <c r="F14" s="981"/>
    </row>
    <row r="15" spans="1:6" x14ac:dyDescent="0.25">
      <c r="A15" s="981" t="s">
        <v>207</v>
      </c>
      <c r="B15" s="981" t="s">
        <v>3</v>
      </c>
      <c r="C15" s="981" t="s">
        <v>86</v>
      </c>
      <c r="D15" s="981">
        <v>42.3</v>
      </c>
      <c r="E15" s="981">
        <v>25.7</v>
      </c>
      <c r="F15" s="981">
        <v>16.600000000000001</v>
      </c>
    </row>
    <row r="16" spans="1:6" x14ac:dyDescent="0.25">
      <c r="A16" s="981" t="s">
        <v>207</v>
      </c>
      <c r="B16" s="981" t="s">
        <v>3</v>
      </c>
      <c r="C16" s="981" t="s">
        <v>84</v>
      </c>
      <c r="D16" s="981">
        <v>69.7</v>
      </c>
      <c r="E16" s="981">
        <v>31.7</v>
      </c>
      <c r="F16" s="981">
        <v>38</v>
      </c>
    </row>
    <row r="17" spans="1:6" x14ac:dyDescent="0.25">
      <c r="A17" s="981" t="s">
        <v>207</v>
      </c>
      <c r="B17" s="981" t="s">
        <v>3</v>
      </c>
      <c r="C17" s="981" t="s">
        <v>322</v>
      </c>
      <c r="D17" s="981">
        <v>256.39999999999998</v>
      </c>
      <c r="E17" s="981">
        <v>39.200000000000003</v>
      </c>
      <c r="F17" s="981">
        <v>217.2</v>
      </c>
    </row>
    <row r="18" spans="1:6" x14ac:dyDescent="0.25">
      <c r="A18" s="981" t="s">
        <v>207</v>
      </c>
      <c r="B18" s="981" t="s">
        <v>3</v>
      </c>
      <c r="C18" s="981" t="s">
        <v>90</v>
      </c>
      <c r="D18" s="981">
        <v>19.8</v>
      </c>
      <c r="E18" s="981">
        <v>6.8</v>
      </c>
      <c r="F18" s="981">
        <v>13</v>
      </c>
    </row>
    <row r="19" spans="1:6" x14ac:dyDescent="0.25">
      <c r="A19" s="981" t="s">
        <v>207</v>
      </c>
      <c r="B19" s="981" t="s">
        <v>3</v>
      </c>
      <c r="C19" s="981" t="s">
        <v>323</v>
      </c>
      <c r="D19" s="981">
        <v>199.5</v>
      </c>
      <c r="E19" s="981">
        <v>119.8</v>
      </c>
      <c r="F19" s="981">
        <v>79.7</v>
      </c>
    </row>
    <row r="20" spans="1:6" x14ac:dyDescent="0.25">
      <c r="A20" s="981" t="s">
        <v>207</v>
      </c>
      <c r="B20" s="981" t="s">
        <v>321</v>
      </c>
      <c r="C20" s="981" t="s">
        <v>18</v>
      </c>
      <c r="D20" s="981">
        <v>28</v>
      </c>
      <c r="E20" s="981"/>
      <c r="F20" s="981">
        <v>28</v>
      </c>
    </row>
    <row r="21" spans="1:6" x14ac:dyDescent="0.25">
      <c r="A21" s="981" t="s">
        <v>207</v>
      </c>
      <c r="B21" s="981" t="s">
        <v>321</v>
      </c>
      <c r="C21" s="981" t="s">
        <v>212</v>
      </c>
      <c r="D21" s="981">
        <v>9</v>
      </c>
      <c r="E21" s="981"/>
      <c r="F21" s="981">
        <v>9</v>
      </c>
    </row>
    <row r="22" spans="1:6" x14ac:dyDescent="0.25">
      <c r="A22" s="981" t="s">
        <v>207</v>
      </c>
      <c r="B22" s="981" t="s">
        <v>321</v>
      </c>
      <c r="C22" s="981" t="s">
        <v>22</v>
      </c>
      <c r="D22" s="981">
        <v>660</v>
      </c>
      <c r="E22" s="981">
        <v>26</v>
      </c>
      <c r="F22" s="981">
        <v>634</v>
      </c>
    </row>
    <row r="23" spans="1:6" x14ac:dyDescent="0.25">
      <c r="A23" s="981" t="s">
        <v>207</v>
      </c>
      <c r="B23" s="981" t="s">
        <v>321</v>
      </c>
      <c r="C23" s="981" t="s">
        <v>23</v>
      </c>
      <c r="D23" s="981">
        <v>2373.7600000000002</v>
      </c>
      <c r="E23" s="981">
        <v>106</v>
      </c>
      <c r="F23" s="981">
        <v>2267.7600000000002</v>
      </c>
    </row>
    <row r="24" spans="1:6" x14ac:dyDescent="0.25">
      <c r="A24" s="981" t="s">
        <v>207</v>
      </c>
      <c r="B24" s="981" t="s">
        <v>321</v>
      </c>
      <c r="C24" s="981" t="s">
        <v>19</v>
      </c>
      <c r="D24" s="981">
        <v>115</v>
      </c>
      <c r="E24" s="981">
        <v>3</v>
      </c>
      <c r="F24" s="981">
        <v>112</v>
      </c>
    </row>
    <row r="25" spans="1:6" x14ac:dyDescent="0.25">
      <c r="A25" s="981" t="s">
        <v>207</v>
      </c>
      <c r="B25" s="981" t="s">
        <v>321</v>
      </c>
      <c r="C25" s="981" t="s">
        <v>20</v>
      </c>
      <c r="D25" s="981">
        <v>136</v>
      </c>
      <c r="E25" s="981">
        <v>2</v>
      </c>
      <c r="F25" s="981">
        <v>134</v>
      </c>
    </row>
    <row r="26" spans="1:6" x14ac:dyDescent="0.25">
      <c r="A26" s="981" t="s">
        <v>207</v>
      </c>
      <c r="B26" s="981" t="s">
        <v>321</v>
      </c>
      <c r="C26" s="981" t="s">
        <v>21</v>
      </c>
      <c r="D26" s="981">
        <v>679</v>
      </c>
      <c r="E26" s="981">
        <v>22</v>
      </c>
      <c r="F26" s="981">
        <v>657</v>
      </c>
    </row>
    <row r="27" spans="1:6" x14ac:dyDescent="0.25">
      <c r="A27" s="981" t="s">
        <v>206</v>
      </c>
      <c r="B27" s="981" t="s">
        <v>2</v>
      </c>
      <c r="C27" s="981" t="s">
        <v>22</v>
      </c>
      <c r="D27" s="981">
        <v>50.79</v>
      </c>
      <c r="E27" s="981">
        <v>42.79</v>
      </c>
      <c r="F27" s="981">
        <v>8</v>
      </c>
    </row>
    <row r="28" spans="1:6" x14ac:dyDescent="0.25">
      <c r="A28" s="981" t="s">
        <v>206</v>
      </c>
      <c r="B28" s="981" t="s">
        <v>2</v>
      </c>
      <c r="C28" s="981" t="s">
        <v>23</v>
      </c>
      <c r="D28" s="981">
        <v>102.69</v>
      </c>
      <c r="E28" s="981">
        <v>81.69</v>
      </c>
      <c r="F28" s="981">
        <v>21</v>
      </c>
    </row>
    <row r="29" spans="1:6" x14ac:dyDescent="0.25">
      <c r="A29" s="981" t="s">
        <v>206</v>
      </c>
      <c r="B29" s="981" t="s">
        <v>2</v>
      </c>
      <c r="C29" s="981" t="s">
        <v>19</v>
      </c>
      <c r="D29" s="981">
        <v>5</v>
      </c>
      <c r="E29" s="981">
        <v>4</v>
      </c>
      <c r="F29" s="981">
        <v>1</v>
      </c>
    </row>
    <row r="30" spans="1:6" x14ac:dyDescent="0.25">
      <c r="A30" s="981" t="s">
        <v>206</v>
      </c>
      <c r="B30" s="981" t="s">
        <v>2</v>
      </c>
      <c r="C30" s="981" t="s">
        <v>20</v>
      </c>
      <c r="D30" s="981">
        <v>12.85</v>
      </c>
      <c r="E30" s="981">
        <v>10.85</v>
      </c>
      <c r="F30" s="981">
        <v>2</v>
      </c>
    </row>
    <row r="31" spans="1:6" x14ac:dyDescent="0.25">
      <c r="A31" s="981" t="s">
        <v>206</v>
      </c>
      <c r="B31" s="981" t="s">
        <v>2</v>
      </c>
      <c r="C31" s="981" t="s">
        <v>21</v>
      </c>
      <c r="D31" s="981">
        <v>49.46</v>
      </c>
      <c r="E31" s="981">
        <v>43.46</v>
      </c>
      <c r="F31" s="981">
        <v>6</v>
      </c>
    </row>
    <row r="32" spans="1:6" x14ac:dyDescent="0.25">
      <c r="A32" s="981" t="s">
        <v>206</v>
      </c>
      <c r="B32" s="981" t="s">
        <v>9</v>
      </c>
      <c r="C32" s="981" t="s">
        <v>22</v>
      </c>
      <c r="D32" s="981">
        <v>498</v>
      </c>
      <c r="E32" s="981">
        <v>16.5</v>
      </c>
      <c r="F32" s="981">
        <v>481.5</v>
      </c>
    </row>
    <row r="33" spans="1:6" x14ac:dyDescent="0.25">
      <c r="A33" s="981" t="s">
        <v>206</v>
      </c>
      <c r="B33" s="981" t="s">
        <v>9</v>
      </c>
      <c r="C33" s="981" t="s">
        <v>23</v>
      </c>
      <c r="D33" s="981">
        <v>1906.75</v>
      </c>
      <c r="E33" s="981">
        <v>128.25</v>
      </c>
      <c r="F33" s="981">
        <v>1778.5</v>
      </c>
    </row>
    <row r="34" spans="1:6" x14ac:dyDescent="0.25">
      <c r="A34" s="981" t="s">
        <v>206</v>
      </c>
      <c r="B34" s="981" t="s">
        <v>9</v>
      </c>
      <c r="C34" s="981" t="s">
        <v>21</v>
      </c>
      <c r="D34" s="981">
        <v>263.75</v>
      </c>
      <c r="E34" s="981">
        <v>12</v>
      </c>
      <c r="F34" s="981">
        <v>251.75</v>
      </c>
    </row>
    <row r="35" spans="1:6" x14ac:dyDescent="0.25">
      <c r="A35" s="981" t="s">
        <v>206</v>
      </c>
      <c r="B35" s="981" t="s">
        <v>3</v>
      </c>
      <c r="C35" s="981" t="s">
        <v>101</v>
      </c>
      <c r="D35" s="981">
        <v>151.38999999999999</v>
      </c>
      <c r="E35" s="981">
        <v>135.18</v>
      </c>
      <c r="F35" s="981">
        <v>16.21</v>
      </c>
    </row>
    <row r="36" spans="1:6" x14ac:dyDescent="0.25">
      <c r="A36" s="981" t="s">
        <v>206</v>
      </c>
      <c r="B36" s="981" t="s">
        <v>3</v>
      </c>
      <c r="C36" s="981" t="s">
        <v>213</v>
      </c>
      <c r="D36" s="981">
        <v>2</v>
      </c>
      <c r="E36" s="981">
        <v>2</v>
      </c>
      <c r="F36" s="981">
        <v>0</v>
      </c>
    </row>
    <row r="37" spans="1:6" x14ac:dyDescent="0.25">
      <c r="A37" s="981" t="s">
        <v>206</v>
      </c>
      <c r="B37" s="981" t="s">
        <v>3</v>
      </c>
      <c r="C37" s="981" t="s">
        <v>86</v>
      </c>
      <c r="D37" s="981">
        <v>55.47</v>
      </c>
      <c r="E37" s="981">
        <v>36.869999999999997</v>
      </c>
      <c r="F37" s="981">
        <v>18.600000000000001</v>
      </c>
    </row>
    <row r="38" spans="1:6" x14ac:dyDescent="0.25">
      <c r="A38" s="981" t="s">
        <v>206</v>
      </c>
      <c r="B38" s="981" t="s">
        <v>3</v>
      </c>
      <c r="C38" s="981" t="s">
        <v>84</v>
      </c>
      <c r="D38" s="981">
        <v>45.99</v>
      </c>
      <c r="E38" s="981">
        <v>22.99</v>
      </c>
      <c r="F38" s="981">
        <v>23</v>
      </c>
    </row>
    <row r="39" spans="1:6" x14ac:dyDescent="0.25">
      <c r="A39" s="981" t="s">
        <v>206</v>
      </c>
      <c r="B39" s="981" t="s">
        <v>3</v>
      </c>
      <c r="C39" s="981" t="s">
        <v>322</v>
      </c>
      <c r="D39" s="981">
        <v>325.23</v>
      </c>
      <c r="E39" s="981">
        <v>94.63</v>
      </c>
      <c r="F39" s="981">
        <v>230.6</v>
      </c>
    </row>
    <row r="40" spans="1:6" x14ac:dyDescent="0.25">
      <c r="A40" s="981" t="s">
        <v>206</v>
      </c>
      <c r="B40" s="981" t="s">
        <v>3</v>
      </c>
      <c r="C40" s="981" t="s">
        <v>90</v>
      </c>
      <c r="D40" s="981">
        <v>36.9</v>
      </c>
      <c r="E40" s="981">
        <v>19.899999999999999</v>
      </c>
      <c r="F40" s="981">
        <v>17</v>
      </c>
    </row>
    <row r="41" spans="1:6" x14ac:dyDescent="0.25">
      <c r="A41" s="981" t="s">
        <v>206</v>
      </c>
      <c r="B41" s="981" t="s">
        <v>3</v>
      </c>
      <c r="C41" s="981" t="s">
        <v>323</v>
      </c>
      <c r="D41" s="981">
        <v>128.97999999999999</v>
      </c>
      <c r="E41" s="981">
        <v>65.05</v>
      </c>
      <c r="F41" s="981">
        <v>63.93</v>
      </c>
    </row>
    <row r="42" spans="1:6" x14ac:dyDescent="0.25">
      <c r="A42" s="981" t="s">
        <v>206</v>
      </c>
      <c r="B42" s="981" t="s">
        <v>321</v>
      </c>
      <c r="C42" s="981" t="s">
        <v>18</v>
      </c>
      <c r="D42" s="981">
        <v>33</v>
      </c>
      <c r="E42" s="981"/>
      <c r="F42" s="981">
        <v>33</v>
      </c>
    </row>
    <row r="43" spans="1:6" x14ac:dyDescent="0.25">
      <c r="A43" s="981" t="s">
        <v>206</v>
      </c>
      <c r="B43" s="981" t="s">
        <v>321</v>
      </c>
      <c r="C43" s="981" t="s">
        <v>212</v>
      </c>
      <c r="D43" s="981">
        <v>7</v>
      </c>
      <c r="E43" s="981"/>
      <c r="F43" s="981">
        <v>7</v>
      </c>
    </row>
    <row r="44" spans="1:6" x14ac:dyDescent="0.25">
      <c r="A44" s="981" t="s">
        <v>206</v>
      </c>
      <c r="B44" s="981" t="s">
        <v>321</v>
      </c>
      <c r="C44" s="981" t="s">
        <v>22</v>
      </c>
      <c r="D44" s="981">
        <v>634</v>
      </c>
      <c r="E44" s="981">
        <v>24</v>
      </c>
      <c r="F44" s="981">
        <v>610</v>
      </c>
    </row>
    <row r="45" spans="1:6" x14ac:dyDescent="0.25">
      <c r="A45" s="981" t="s">
        <v>206</v>
      </c>
      <c r="B45" s="981" t="s">
        <v>321</v>
      </c>
      <c r="C45" s="981" t="s">
        <v>23</v>
      </c>
      <c r="D45" s="981">
        <v>2285</v>
      </c>
      <c r="E45" s="981">
        <v>109</v>
      </c>
      <c r="F45" s="981">
        <v>2176</v>
      </c>
    </row>
    <row r="46" spans="1:6" x14ac:dyDescent="0.25">
      <c r="A46" s="981" t="s">
        <v>206</v>
      </c>
      <c r="B46" s="981" t="s">
        <v>321</v>
      </c>
      <c r="C46" s="981" t="s">
        <v>19</v>
      </c>
      <c r="D46" s="981">
        <v>103</v>
      </c>
      <c r="E46" s="981">
        <v>3</v>
      </c>
      <c r="F46" s="981">
        <v>100</v>
      </c>
    </row>
    <row r="47" spans="1:6" x14ac:dyDescent="0.25">
      <c r="A47" s="981" t="s">
        <v>206</v>
      </c>
      <c r="B47" s="981" t="s">
        <v>321</v>
      </c>
      <c r="C47" s="981" t="s">
        <v>20</v>
      </c>
      <c r="D47" s="981">
        <v>130</v>
      </c>
      <c r="E47" s="981">
        <v>1</v>
      </c>
      <c r="F47" s="981">
        <v>129</v>
      </c>
    </row>
    <row r="48" spans="1:6" x14ac:dyDescent="0.25">
      <c r="A48" s="981" t="s">
        <v>206</v>
      </c>
      <c r="B48" s="981" t="s">
        <v>321</v>
      </c>
      <c r="C48" s="981" t="s">
        <v>21</v>
      </c>
      <c r="D48" s="981">
        <v>664</v>
      </c>
      <c r="E48" s="981">
        <v>27</v>
      </c>
      <c r="F48" s="981">
        <v>637</v>
      </c>
    </row>
    <row r="49" spans="1:6" x14ac:dyDescent="0.25">
      <c r="A49" s="981" t="s">
        <v>205</v>
      </c>
      <c r="B49" s="981" t="s">
        <v>2</v>
      </c>
      <c r="C49" s="981" t="s">
        <v>22</v>
      </c>
      <c r="D49" s="981">
        <v>43</v>
      </c>
      <c r="E49" s="981">
        <v>38</v>
      </c>
      <c r="F49" s="981">
        <v>5</v>
      </c>
    </row>
    <row r="50" spans="1:6" x14ac:dyDescent="0.25">
      <c r="A50" s="981" t="s">
        <v>205</v>
      </c>
      <c r="B50" s="981" t="s">
        <v>2</v>
      </c>
      <c r="C50" s="981" t="s">
        <v>23</v>
      </c>
      <c r="D50" s="981">
        <v>89.02</v>
      </c>
      <c r="E50" s="981">
        <v>71.02</v>
      </c>
      <c r="F50" s="981">
        <v>18</v>
      </c>
    </row>
    <row r="51" spans="1:6" x14ac:dyDescent="0.25">
      <c r="A51" s="981" t="s">
        <v>205</v>
      </c>
      <c r="B51" s="981" t="s">
        <v>2</v>
      </c>
      <c r="C51" s="981" t="s">
        <v>19</v>
      </c>
      <c r="D51" s="981">
        <v>6</v>
      </c>
      <c r="E51" s="981">
        <v>4</v>
      </c>
      <c r="F51" s="981">
        <v>2</v>
      </c>
    </row>
    <row r="52" spans="1:6" x14ac:dyDescent="0.25">
      <c r="A52" s="981" t="s">
        <v>205</v>
      </c>
      <c r="B52" s="981" t="s">
        <v>2</v>
      </c>
      <c r="C52" s="981" t="s">
        <v>20</v>
      </c>
      <c r="D52" s="981">
        <v>6.83</v>
      </c>
      <c r="E52" s="981">
        <v>6.83</v>
      </c>
      <c r="F52" s="981"/>
    </row>
    <row r="53" spans="1:6" x14ac:dyDescent="0.25">
      <c r="A53" s="981" t="s">
        <v>205</v>
      </c>
      <c r="B53" s="981" t="s">
        <v>2</v>
      </c>
      <c r="C53" s="981" t="s">
        <v>21</v>
      </c>
      <c r="D53" s="981">
        <v>50.31</v>
      </c>
      <c r="E53" s="981">
        <v>43.31</v>
      </c>
      <c r="F53" s="981">
        <v>7</v>
      </c>
    </row>
    <row r="54" spans="1:6" x14ac:dyDescent="0.25">
      <c r="A54" s="981" t="s">
        <v>205</v>
      </c>
      <c r="B54" s="981" t="s">
        <v>9</v>
      </c>
      <c r="C54" s="981" t="s">
        <v>22</v>
      </c>
      <c r="D54" s="981">
        <v>486.18</v>
      </c>
      <c r="E54" s="981">
        <v>16.75</v>
      </c>
      <c r="F54" s="981">
        <v>469.43</v>
      </c>
    </row>
    <row r="55" spans="1:6" x14ac:dyDescent="0.25">
      <c r="A55" s="981" t="s">
        <v>205</v>
      </c>
      <c r="B55" s="981" t="s">
        <v>9</v>
      </c>
      <c r="C55" s="981" t="s">
        <v>23</v>
      </c>
      <c r="D55" s="981">
        <v>1792.83</v>
      </c>
      <c r="E55" s="981">
        <v>116.4</v>
      </c>
      <c r="F55" s="981">
        <v>1676.43</v>
      </c>
    </row>
    <row r="56" spans="1:6" x14ac:dyDescent="0.25">
      <c r="A56" s="981" t="s">
        <v>205</v>
      </c>
      <c r="B56" s="981" t="s">
        <v>9</v>
      </c>
      <c r="C56" s="981" t="s">
        <v>21</v>
      </c>
      <c r="D56" s="981">
        <v>247.75</v>
      </c>
      <c r="E56" s="981">
        <v>14</v>
      </c>
      <c r="F56" s="981">
        <v>233.75</v>
      </c>
    </row>
    <row r="57" spans="1:6" x14ac:dyDescent="0.25">
      <c r="A57" s="981" t="s">
        <v>205</v>
      </c>
      <c r="B57" s="981" t="s">
        <v>3</v>
      </c>
      <c r="C57" s="981" t="s">
        <v>101</v>
      </c>
      <c r="D57" s="981">
        <v>145.72999999999999</v>
      </c>
      <c r="E57" s="981">
        <v>128.96</v>
      </c>
      <c r="F57" s="981">
        <v>16.77</v>
      </c>
    </row>
    <row r="58" spans="1:6" x14ac:dyDescent="0.25">
      <c r="A58" s="981" t="s">
        <v>205</v>
      </c>
      <c r="B58" s="981" t="s">
        <v>3</v>
      </c>
      <c r="C58" s="981" t="s">
        <v>213</v>
      </c>
      <c r="D58" s="981">
        <v>3</v>
      </c>
      <c r="E58" s="981">
        <v>2</v>
      </c>
      <c r="F58" s="981">
        <v>1</v>
      </c>
    </row>
    <row r="59" spans="1:6" x14ac:dyDescent="0.25">
      <c r="A59" s="981" t="s">
        <v>205</v>
      </c>
      <c r="B59" s="981" t="s">
        <v>3</v>
      </c>
      <c r="C59" s="981" t="s">
        <v>86</v>
      </c>
      <c r="D59" s="981">
        <v>70.709999999999994</v>
      </c>
      <c r="E59" s="981">
        <v>53.71</v>
      </c>
      <c r="F59" s="981">
        <v>17</v>
      </c>
    </row>
    <row r="60" spans="1:6" x14ac:dyDescent="0.25">
      <c r="A60" s="981" t="s">
        <v>205</v>
      </c>
      <c r="B60" s="981" t="s">
        <v>3</v>
      </c>
      <c r="C60" s="981" t="s">
        <v>84</v>
      </c>
      <c r="D60" s="981">
        <v>40</v>
      </c>
      <c r="E60" s="981">
        <v>15</v>
      </c>
      <c r="F60" s="981">
        <v>25</v>
      </c>
    </row>
    <row r="61" spans="1:6" x14ac:dyDescent="0.25">
      <c r="A61" s="981" t="s">
        <v>205</v>
      </c>
      <c r="B61" s="981" t="s">
        <v>3</v>
      </c>
      <c r="C61" s="981" t="s">
        <v>322</v>
      </c>
      <c r="D61" s="981">
        <v>303.61</v>
      </c>
      <c r="E61" s="981">
        <v>95.92</v>
      </c>
      <c r="F61" s="981">
        <v>207.69</v>
      </c>
    </row>
    <row r="62" spans="1:6" x14ac:dyDescent="0.25">
      <c r="A62" s="981" t="s">
        <v>205</v>
      </c>
      <c r="B62" s="981" t="s">
        <v>3</v>
      </c>
      <c r="C62" s="981" t="s">
        <v>90</v>
      </c>
      <c r="D62" s="981">
        <v>33.31</v>
      </c>
      <c r="E62" s="981">
        <v>17.309999999999999</v>
      </c>
      <c r="F62" s="981">
        <v>16</v>
      </c>
    </row>
    <row r="63" spans="1:6" x14ac:dyDescent="0.25">
      <c r="A63" s="981" t="s">
        <v>205</v>
      </c>
      <c r="B63" s="981" t="s">
        <v>3</v>
      </c>
      <c r="C63" s="981" t="s">
        <v>323</v>
      </c>
      <c r="D63" s="981">
        <v>122.2</v>
      </c>
      <c r="E63" s="981">
        <v>57.2</v>
      </c>
      <c r="F63" s="981">
        <v>65</v>
      </c>
    </row>
    <row r="64" spans="1:6" x14ac:dyDescent="0.25">
      <c r="A64" s="981" t="s">
        <v>205</v>
      </c>
      <c r="B64" s="981" t="s">
        <v>321</v>
      </c>
      <c r="C64" s="981" t="s">
        <v>18</v>
      </c>
      <c r="D64" s="981">
        <v>35</v>
      </c>
      <c r="E64" s="981">
        <v>0</v>
      </c>
      <c r="F64" s="981">
        <v>35</v>
      </c>
    </row>
    <row r="65" spans="1:6" x14ac:dyDescent="0.25">
      <c r="A65" s="981" t="s">
        <v>205</v>
      </c>
      <c r="B65" s="981" t="s">
        <v>321</v>
      </c>
      <c r="C65" s="981" t="s">
        <v>212</v>
      </c>
      <c r="D65" s="981">
        <v>4</v>
      </c>
      <c r="E65" s="981">
        <v>0</v>
      </c>
      <c r="F65" s="981">
        <v>4</v>
      </c>
    </row>
    <row r="66" spans="1:6" x14ac:dyDescent="0.25">
      <c r="A66" s="981" t="s">
        <v>205</v>
      </c>
      <c r="B66" s="981" t="s">
        <v>321</v>
      </c>
      <c r="C66" s="981" t="s">
        <v>22</v>
      </c>
      <c r="D66" s="981">
        <v>598.35</v>
      </c>
      <c r="E66" s="981">
        <v>27</v>
      </c>
      <c r="F66" s="981">
        <v>571.35</v>
      </c>
    </row>
    <row r="67" spans="1:6" x14ac:dyDescent="0.25">
      <c r="A67" s="981" t="s">
        <v>205</v>
      </c>
      <c r="B67" s="981" t="s">
        <v>321</v>
      </c>
      <c r="C67" s="981" t="s">
        <v>23</v>
      </c>
      <c r="D67" s="981">
        <v>2250.79</v>
      </c>
      <c r="E67" s="981">
        <v>112.89</v>
      </c>
      <c r="F67" s="981">
        <v>2137.9</v>
      </c>
    </row>
    <row r="68" spans="1:6" x14ac:dyDescent="0.25">
      <c r="A68" s="981" t="s">
        <v>205</v>
      </c>
      <c r="B68" s="981" t="s">
        <v>321</v>
      </c>
      <c r="C68" s="981" t="s">
        <v>19</v>
      </c>
      <c r="D68" s="981">
        <v>90</v>
      </c>
      <c r="E68" s="981">
        <v>3</v>
      </c>
      <c r="F68" s="981">
        <v>87</v>
      </c>
    </row>
    <row r="69" spans="1:6" x14ac:dyDescent="0.25">
      <c r="A69" s="981" t="s">
        <v>205</v>
      </c>
      <c r="B69" s="981" t="s">
        <v>321</v>
      </c>
      <c r="C69" s="981" t="s">
        <v>20</v>
      </c>
      <c r="D69" s="981">
        <v>126</v>
      </c>
      <c r="E69" s="981">
        <v>2</v>
      </c>
      <c r="F69" s="981">
        <v>124</v>
      </c>
    </row>
    <row r="70" spans="1:6" x14ac:dyDescent="0.25">
      <c r="A70" s="981" t="s">
        <v>205</v>
      </c>
      <c r="B70" s="981" t="s">
        <v>321</v>
      </c>
      <c r="C70" s="981" t="s">
        <v>21</v>
      </c>
      <c r="D70" s="981">
        <v>585.32000000000005</v>
      </c>
      <c r="E70" s="981">
        <v>22</v>
      </c>
      <c r="F70" s="981">
        <v>563.32000000000005</v>
      </c>
    </row>
    <row r="71" spans="1:6" x14ac:dyDescent="0.25">
      <c r="A71" s="981" t="s">
        <v>259</v>
      </c>
      <c r="B71" s="981" t="s">
        <v>2</v>
      </c>
      <c r="C71" s="981" t="s">
        <v>22</v>
      </c>
      <c r="D71" s="981">
        <v>26.79</v>
      </c>
      <c r="E71" s="981">
        <v>22.79</v>
      </c>
      <c r="F71" s="981">
        <v>4</v>
      </c>
    </row>
    <row r="72" spans="1:6" x14ac:dyDescent="0.25">
      <c r="A72" s="981" t="s">
        <v>259</v>
      </c>
      <c r="B72" s="981" t="s">
        <v>2</v>
      </c>
      <c r="C72" s="981" t="s">
        <v>23</v>
      </c>
      <c r="D72" s="981">
        <v>100.83</v>
      </c>
      <c r="E72" s="981">
        <v>83.33</v>
      </c>
      <c r="F72" s="981">
        <v>17.5</v>
      </c>
    </row>
    <row r="73" spans="1:6" x14ac:dyDescent="0.25">
      <c r="A73" s="981" t="s">
        <v>259</v>
      </c>
      <c r="B73" s="981" t="s">
        <v>2</v>
      </c>
      <c r="C73" s="981" t="s">
        <v>19</v>
      </c>
      <c r="D73" s="981">
        <v>5</v>
      </c>
      <c r="E73" s="981">
        <v>4</v>
      </c>
      <c r="F73" s="981">
        <v>1</v>
      </c>
    </row>
    <row r="74" spans="1:6" x14ac:dyDescent="0.25">
      <c r="A74" s="981" t="s">
        <v>259</v>
      </c>
      <c r="B74" s="981" t="s">
        <v>2</v>
      </c>
      <c r="C74" s="981" t="s">
        <v>20</v>
      </c>
      <c r="D74" s="981">
        <v>8</v>
      </c>
      <c r="E74" s="981">
        <v>7</v>
      </c>
      <c r="F74" s="981">
        <v>1</v>
      </c>
    </row>
    <row r="75" spans="1:6" x14ac:dyDescent="0.25">
      <c r="A75" s="981" t="s">
        <v>259</v>
      </c>
      <c r="B75" s="981" t="s">
        <v>2</v>
      </c>
      <c r="C75" s="981" t="s">
        <v>21</v>
      </c>
      <c r="D75" s="981">
        <v>43</v>
      </c>
      <c r="E75" s="981">
        <v>36</v>
      </c>
      <c r="F75" s="981">
        <v>7</v>
      </c>
    </row>
    <row r="76" spans="1:6" x14ac:dyDescent="0.25">
      <c r="A76" s="981" t="s">
        <v>259</v>
      </c>
      <c r="B76" s="981" t="s">
        <v>9</v>
      </c>
      <c r="C76" s="981" t="s">
        <v>22</v>
      </c>
      <c r="D76" s="981">
        <v>477.18</v>
      </c>
      <c r="E76" s="981">
        <v>18.25</v>
      </c>
      <c r="F76" s="981">
        <v>458.93</v>
      </c>
    </row>
    <row r="77" spans="1:6" x14ac:dyDescent="0.25">
      <c r="A77" s="981" t="s">
        <v>259</v>
      </c>
      <c r="B77" s="981" t="s">
        <v>9</v>
      </c>
      <c r="C77" s="981" t="s">
        <v>23</v>
      </c>
      <c r="D77" s="981">
        <v>1821.55</v>
      </c>
      <c r="E77" s="981">
        <v>121.65</v>
      </c>
      <c r="F77" s="981">
        <v>1699.9</v>
      </c>
    </row>
    <row r="78" spans="1:6" x14ac:dyDescent="0.25">
      <c r="A78" s="981" t="s">
        <v>259</v>
      </c>
      <c r="B78" s="981" t="s">
        <v>9</v>
      </c>
      <c r="C78" s="981" t="s">
        <v>21</v>
      </c>
      <c r="D78" s="981">
        <v>246.25</v>
      </c>
      <c r="E78" s="981">
        <v>13.75</v>
      </c>
      <c r="F78" s="981">
        <v>232.5</v>
      </c>
    </row>
    <row r="79" spans="1:6" x14ac:dyDescent="0.25">
      <c r="A79" s="981" t="s">
        <v>259</v>
      </c>
      <c r="B79" s="981" t="s">
        <v>3</v>
      </c>
      <c r="C79" s="981" t="s">
        <v>101</v>
      </c>
      <c r="D79" s="981">
        <v>135.37</v>
      </c>
      <c r="E79" s="981">
        <v>126.82</v>
      </c>
      <c r="F79" s="981">
        <v>8.5500000000000007</v>
      </c>
    </row>
    <row r="80" spans="1:6" x14ac:dyDescent="0.25">
      <c r="A80" s="981" t="s">
        <v>259</v>
      </c>
      <c r="B80" s="981" t="s">
        <v>3</v>
      </c>
      <c r="C80" s="981" t="s">
        <v>213</v>
      </c>
      <c r="D80" s="981">
        <v>2</v>
      </c>
      <c r="E80" s="981">
        <v>1</v>
      </c>
      <c r="F80" s="981">
        <v>1</v>
      </c>
    </row>
    <row r="81" spans="1:6" x14ac:dyDescent="0.25">
      <c r="A81" s="981" t="s">
        <v>259</v>
      </c>
      <c r="B81" s="981" t="s">
        <v>3</v>
      </c>
      <c r="C81" s="981" t="s">
        <v>86</v>
      </c>
      <c r="D81" s="981">
        <v>75.81</v>
      </c>
      <c r="E81" s="981">
        <v>53.98</v>
      </c>
      <c r="F81" s="981">
        <v>21.83</v>
      </c>
    </row>
    <row r="82" spans="1:6" x14ac:dyDescent="0.25">
      <c r="A82" s="981" t="s">
        <v>259</v>
      </c>
      <c r="B82" s="981" t="s">
        <v>3</v>
      </c>
      <c r="C82" s="981" t="s">
        <v>84</v>
      </c>
      <c r="D82" s="981">
        <v>49.71</v>
      </c>
      <c r="E82" s="981">
        <v>16.71</v>
      </c>
      <c r="F82" s="981">
        <v>33</v>
      </c>
    </row>
    <row r="83" spans="1:6" x14ac:dyDescent="0.25">
      <c r="A83" s="981" t="s">
        <v>259</v>
      </c>
      <c r="B83" s="981" t="s">
        <v>3</v>
      </c>
      <c r="C83" s="981" t="s">
        <v>322</v>
      </c>
      <c r="D83" s="981">
        <v>354.57</v>
      </c>
      <c r="E83" s="981">
        <v>133.04</v>
      </c>
      <c r="F83" s="981">
        <v>221.53</v>
      </c>
    </row>
    <row r="84" spans="1:6" x14ac:dyDescent="0.25">
      <c r="A84" s="981" t="s">
        <v>259</v>
      </c>
      <c r="B84" s="981" t="s">
        <v>3</v>
      </c>
      <c r="C84" s="981" t="s">
        <v>90</v>
      </c>
      <c r="D84" s="981">
        <v>30.86</v>
      </c>
      <c r="E84" s="981">
        <v>18.36</v>
      </c>
      <c r="F84" s="981">
        <v>12.5</v>
      </c>
    </row>
    <row r="85" spans="1:6" x14ac:dyDescent="0.25">
      <c r="A85" s="981" t="s">
        <v>259</v>
      </c>
      <c r="B85" s="981" t="s">
        <v>3</v>
      </c>
      <c r="C85" s="981" t="s">
        <v>323</v>
      </c>
      <c r="D85" s="981">
        <v>110.41</v>
      </c>
      <c r="E85" s="981">
        <v>52.13</v>
      </c>
      <c r="F85" s="981">
        <v>58.28</v>
      </c>
    </row>
    <row r="86" spans="1:6" x14ac:dyDescent="0.25">
      <c r="A86" s="981" t="s">
        <v>259</v>
      </c>
      <c r="B86" s="981" t="s">
        <v>321</v>
      </c>
      <c r="C86" s="981" t="s">
        <v>18</v>
      </c>
      <c r="D86" s="981">
        <v>34</v>
      </c>
      <c r="E86" s="981"/>
      <c r="F86" s="981">
        <v>34</v>
      </c>
    </row>
    <row r="87" spans="1:6" x14ac:dyDescent="0.25">
      <c r="A87" s="981" t="s">
        <v>259</v>
      </c>
      <c r="B87" s="981" t="s">
        <v>321</v>
      </c>
      <c r="C87" s="981" t="s">
        <v>212</v>
      </c>
      <c r="D87" s="981">
        <v>4</v>
      </c>
      <c r="E87" s="981"/>
      <c r="F87" s="981">
        <v>4</v>
      </c>
    </row>
    <row r="88" spans="1:6" x14ac:dyDescent="0.25">
      <c r="A88" s="981" t="s">
        <v>259</v>
      </c>
      <c r="B88" s="981" t="s">
        <v>321</v>
      </c>
      <c r="C88" s="981" t="s">
        <v>22</v>
      </c>
      <c r="D88" s="981">
        <v>689</v>
      </c>
      <c r="E88" s="981">
        <v>26</v>
      </c>
      <c r="F88" s="981">
        <v>663</v>
      </c>
    </row>
    <row r="89" spans="1:6" x14ac:dyDescent="0.25">
      <c r="A89" s="981" t="s">
        <v>259</v>
      </c>
      <c r="B89" s="981" t="s">
        <v>321</v>
      </c>
      <c r="C89" s="981" t="s">
        <v>23</v>
      </c>
      <c r="D89" s="981">
        <v>1988.43</v>
      </c>
      <c r="E89" s="981">
        <v>113.43</v>
      </c>
      <c r="F89" s="981">
        <v>1875</v>
      </c>
    </row>
    <row r="90" spans="1:6" x14ac:dyDescent="0.25">
      <c r="A90" s="981" t="s">
        <v>259</v>
      </c>
      <c r="B90" s="981" t="s">
        <v>321</v>
      </c>
      <c r="C90" s="981" t="s">
        <v>19</v>
      </c>
      <c r="D90" s="981">
        <v>74</v>
      </c>
      <c r="E90" s="981">
        <v>2</v>
      </c>
      <c r="F90" s="981">
        <v>72</v>
      </c>
    </row>
    <row r="91" spans="1:6" x14ac:dyDescent="0.25">
      <c r="A91" s="981" t="s">
        <v>259</v>
      </c>
      <c r="B91" s="981" t="s">
        <v>321</v>
      </c>
      <c r="C91" s="981" t="s">
        <v>20</v>
      </c>
      <c r="D91" s="981">
        <v>153</v>
      </c>
      <c r="E91" s="981">
        <v>2</v>
      </c>
      <c r="F91" s="981">
        <v>151</v>
      </c>
    </row>
    <row r="92" spans="1:6" x14ac:dyDescent="0.25">
      <c r="A92" s="981" t="s">
        <v>259</v>
      </c>
      <c r="B92" s="981" t="s">
        <v>321</v>
      </c>
      <c r="C92" s="981" t="s">
        <v>21</v>
      </c>
      <c r="D92" s="981">
        <v>602</v>
      </c>
      <c r="E92" s="981">
        <v>31</v>
      </c>
      <c r="F92" s="981">
        <v>571</v>
      </c>
    </row>
    <row r="93" spans="1:6" x14ac:dyDescent="0.25">
      <c r="A93" s="981" t="s">
        <v>258</v>
      </c>
      <c r="B93" s="981" t="s">
        <v>2</v>
      </c>
      <c r="C93" s="981" t="s">
        <v>18</v>
      </c>
      <c r="D93" s="981">
        <v>1</v>
      </c>
      <c r="E93" s="981">
        <v>1</v>
      </c>
      <c r="F93" s="981"/>
    </row>
    <row r="94" spans="1:6" x14ac:dyDescent="0.25">
      <c r="A94" s="981" t="s">
        <v>258</v>
      </c>
      <c r="B94" s="981" t="s">
        <v>2</v>
      </c>
      <c r="C94" s="981" t="s">
        <v>22</v>
      </c>
      <c r="D94" s="981">
        <v>27</v>
      </c>
      <c r="E94" s="981">
        <v>21</v>
      </c>
      <c r="F94" s="981">
        <v>6</v>
      </c>
    </row>
    <row r="95" spans="1:6" x14ac:dyDescent="0.25">
      <c r="A95" s="981" t="s">
        <v>258</v>
      </c>
      <c r="B95" s="981" t="s">
        <v>2</v>
      </c>
      <c r="C95" s="981" t="s">
        <v>23</v>
      </c>
      <c r="D95" s="981">
        <v>119.33</v>
      </c>
      <c r="E95" s="981">
        <v>98.33</v>
      </c>
      <c r="F95" s="981">
        <v>21</v>
      </c>
    </row>
    <row r="96" spans="1:6" x14ac:dyDescent="0.25">
      <c r="A96" s="981" t="s">
        <v>258</v>
      </c>
      <c r="B96" s="981" t="s">
        <v>2</v>
      </c>
      <c r="C96" s="981" t="s">
        <v>19</v>
      </c>
      <c r="D96" s="981">
        <v>4</v>
      </c>
      <c r="E96" s="981">
        <v>3</v>
      </c>
      <c r="F96" s="981">
        <v>1</v>
      </c>
    </row>
    <row r="97" spans="1:6" x14ac:dyDescent="0.25">
      <c r="A97" s="981" t="s">
        <v>258</v>
      </c>
      <c r="B97" s="981" t="s">
        <v>2</v>
      </c>
      <c r="C97" s="981" t="s">
        <v>20</v>
      </c>
      <c r="D97" s="981">
        <v>9</v>
      </c>
      <c r="E97" s="981">
        <v>8</v>
      </c>
      <c r="F97" s="981">
        <v>1</v>
      </c>
    </row>
    <row r="98" spans="1:6" x14ac:dyDescent="0.25">
      <c r="A98" s="981" t="s">
        <v>258</v>
      </c>
      <c r="B98" s="981" t="s">
        <v>2</v>
      </c>
      <c r="C98" s="981" t="s">
        <v>21</v>
      </c>
      <c r="D98" s="981">
        <v>42</v>
      </c>
      <c r="E98" s="981">
        <v>36</v>
      </c>
      <c r="F98" s="981">
        <v>6</v>
      </c>
    </row>
    <row r="99" spans="1:6" x14ac:dyDescent="0.25">
      <c r="A99" s="981" t="s">
        <v>258</v>
      </c>
      <c r="B99" s="981" t="s">
        <v>9</v>
      </c>
      <c r="C99" s="981" t="s">
        <v>22</v>
      </c>
      <c r="D99" s="981">
        <v>478.93</v>
      </c>
      <c r="E99" s="981">
        <v>19</v>
      </c>
      <c r="F99" s="981">
        <v>459.93</v>
      </c>
    </row>
    <row r="100" spans="1:6" x14ac:dyDescent="0.25">
      <c r="A100" s="981" t="s">
        <v>258</v>
      </c>
      <c r="B100" s="981" t="s">
        <v>9</v>
      </c>
      <c r="C100" s="981" t="s">
        <v>23</v>
      </c>
      <c r="D100" s="981">
        <v>1863.8</v>
      </c>
      <c r="E100" s="981">
        <v>148.4</v>
      </c>
      <c r="F100" s="981">
        <v>1715.4</v>
      </c>
    </row>
    <row r="101" spans="1:6" x14ac:dyDescent="0.25">
      <c r="A101" s="981" t="s">
        <v>258</v>
      </c>
      <c r="B101" s="981" t="s">
        <v>9</v>
      </c>
      <c r="C101" s="981" t="s">
        <v>21</v>
      </c>
      <c r="D101" s="981">
        <v>268.25</v>
      </c>
      <c r="E101" s="981">
        <v>13.5</v>
      </c>
      <c r="F101" s="981">
        <v>254.75</v>
      </c>
    </row>
    <row r="102" spans="1:6" x14ac:dyDescent="0.25">
      <c r="A102" s="981" t="s">
        <v>258</v>
      </c>
      <c r="B102" s="981" t="s">
        <v>3</v>
      </c>
      <c r="C102" s="981" t="s">
        <v>101</v>
      </c>
      <c r="D102" s="981">
        <v>144.99</v>
      </c>
      <c r="E102" s="981">
        <v>134.44</v>
      </c>
      <c r="F102" s="981">
        <v>10.55</v>
      </c>
    </row>
    <row r="103" spans="1:6" x14ac:dyDescent="0.25">
      <c r="A103" s="981" t="s">
        <v>258</v>
      </c>
      <c r="B103" s="981" t="s">
        <v>3</v>
      </c>
      <c r="C103" s="981" t="s">
        <v>213</v>
      </c>
      <c r="D103" s="981">
        <v>3</v>
      </c>
      <c r="E103" s="981">
        <v>2</v>
      </c>
      <c r="F103" s="981">
        <v>1</v>
      </c>
    </row>
    <row r="104" spans="1:6" x14ac:dyDescent="0.25">
      <c r="A104" s="981" t="s">
        <v>258</v>
      </c>
      <c r="B104" s="981" t="s">
        <v>3</v>
      </c>
      <c r="C104" s="981" t="s">
        <v>86</v>
      </c>
      <c r="D104" s="981">
        <v>80.400000000000006</v>
      </c>
      <c r="E104" s="981">
        <v>55.4</v>
      </c>
      <c r="F104" s="981">
        <v>25</v>
      </c>
    </row>
    <row r="105" spans="1:6" x14ac:dyDescent="0.25">
      <c r="A105" s="981" t="s">
        <v>258</v>
      </c>
      <c r="B105" s="981" t="s">
        <v>3</v>
      </c>
      <c r="C105" s="981" t="s">
        <v>84</v>
      </c>
      <c r="D105" s="981">
        <v>49</v>
      </c>
      <c r="E105" s="981">
        <v>15</v>
      </c>
      <c r="F105" s="981">
        <v>34</v>
      </c>
    </row>
    <row r="106" spans="1:6" x14ac:dyDescent="0.25">
      <c r="A106" s="981" t="s">
        <v>258</v>
      </c>
      <c r="B106" s="981" t="s">
        <v>3</v>
      </c>
      <c r="C106" s="981" t="s">
        <v>322</v>
      </c>
      <c r="D106" s="981">
        <v>375.56</v>
      </c>
      <c r="E106" s="981">
        <v>139.56</v>
      </c>
      <c r="F106" s="981">
        <v>236</v>
      </c>
    </row>
    <row r="107" spans="1:6" x14ac:dyDescent="0.25">
      <c r="A107" s="981" t="s">
        <v>258</v>
      </c>
      <c r="B107" s="981" t="s">
        <v>3</v>
      </c>
      <c r="C107" s="981" t="s">
        <v>90</v>
      </c>
      <c r="D107" s="981">
        <v>34</v>
      </c>
      <c r="E107" s="981">
        <v>21</v>
      </c>
      <c r="F107" s="981">
        <v>13</v>
      </c>
    </row>
    <row r="108" spans="1:6" x14ac:dyDescent="0.25">
      <c r="A108" s="981" t="s">
        <v>258</v>
      </c>
      <c r="B108" s="981" t="s">
        <v>3</v>
      </c>
      <c r="C108" s="981" t="s">
        <v>323</v>
      </c>
      <c r="D108" s="981">
        <v>58.61</v>
      </c>
      <c r="E108" s="981">
        <v>21.26</v>
      </c>
      <c r="F108" s="981">
        <v>37.35</v>
      </c>
    </row>
    <row r="109" spans="1:6" x14ac:dyDescent="0.25">
      <c r="A109" s="981" t="s">
        <v>258</v>
      </c>
      <c r="B109" s="981" t="s">
        <v>321</v>
      </c>
      <c r="C109" s="981" t="s">
        <v>18</v>
      </c>
      <c r="D109" s="981">
        <v>33</v>
      </c>
      <c r="E109" s="981"/>
      <c r="F109" s="981">
        <v>33</v>
      </c>
    </row>
    <row r="110" spans="1:6" x14ac:dyDescent="0.25">
      <c r="A110" s="981" t="s">
        <v>258</v>
      </c>
      <c r="B110" s="981" t="s">
        <v>321</v>
      </c>
      <c r="C110" s="981" t="s">
        <v>212</v>
      </c>
      <c r="D110" s="981">
        <v>4</v>
      </c>
      <c r="E110" s="981"/>
      <c r="F110" s="981">
        <v>4</v>
      </c>
    </row>
    <row r="111" spans="1:6" x14ac:dyDescent="0.25">
      <c r="A111" s="981" t="s">
        <v>258</v>
      </c>
      <c r="B111" s="981" t="s">
        <v>321</v>
      </c>
      <c r="C111" s="981" t="s">
        <v>22</v>
      </c>
      <c r="D111" s="981">
        <v>687</v>
      </c>
      <c r="E111" s="981">
        <v>27</v>
      </c>
      <c r="F111" s="981">
        <v>660</v>
      </c>
    </row>
    <row r="112" spans="1:6" x14ac:dyDescent="0.25">
      <c r="A112" s="981" t="s">
        <v>258</v>
      </c>
      <c r="B112" s="981" t="s">
        <v>321</v>
      </c>
      <c r="C112" s="981" t="s">
        <v>23</v>
      </c>
      <c r="D112" s="981">
        <v>2073.9299999999998</v>
      </c>
      <c r="E112" s="981">
        <v>130.93</v>
      </c>
      <c r="F112" s="981">
        <v>1943</v>
      </c>
    </row>
    <row r="113" spans="1:6" x14ac:dyDescent="0.25">
      <c r="A113" s="981" t="s">
        <v>258</v>
      </c>
      <c r="B113" s="981" t="s">
        <v>321</v>
      </c>
      <c r="C113" s="981" t="s">
        <v>19</v>
      </c>
      <c r="D113" s="981">
        <v>80</v>
      </c>
      <c r="E113" s="981">
        <v>2</v>
      </c>
      <c r="F113" s="981">
        <v>78</v>
      </c>
    </row>
    <row r="114" spans="1:6" x14ac:dyDescent="0.25">
      <c r="A114" s="981" t="s">
        <v>258</v>
      </c>
      <c r="B114" s="981" t="s">
        <v>321</v>
      </c>
      <c r="C114" s="981" t="s">
        <v>20</v>
      </c>
      <c r="D114" s="981">
        <v>147</v>
      </c>
      <c r="E114" s="981">
        <v>2</v>
      </c>
      <c r="F114" s="981">
        <v>145</v>
      </c>
    </row>
    <row r="115" spans="1:6" x14ac:dyDescent="0.25">
      <c r="A115" s="981" t="s">
        <v>258</v>
      </c>
      <c r="B115" s="981" t="s">
        <v>321</v>
      </c>
      <c r="C115" s="981" t="s">
        <v>21</v>
      </c>
      <c r="D115" s="981">
        <v>611</v>
      </c>
      <c r="E115" s="981">
        <v>33</v>
      </c>
      <c r="F115" s="981">
        <v>578</v>
      </c>
    </row>
  </sheetData>
  <mergeCells count="1">
    <mergeCell ref="A2:B2"/>
  </mergeCells>
  <pageMargins left="0.7" right="0.7" top="0.75" bottom="0.75" header="0.3" footer="0.3"/>
  <pageSetup paperSize="9" fitToHeight="50"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H73"/>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1" spans="1:8" ht="15.75" x14ac:dyDescent="0.25">
      <c r="A1" s="982" t="s">
        <v>950</v>
      </c>
    </row>
    <row r="2" spans="1:8" x14ac:dyDescent="0.25">
      <c r="A2" s="1047">
        <v>43700</v>
      </c>
      <c r="B2" s="1048"/>
    </row>
    <row r="4" spans="1:8" x14ac:dyDescent="0.25">
      <c r="A4" s="980" t="s">
        <v>274</v>
      </c>
      <c r="B4" s="980" t="s">
        <v>949</v>
      </c>
      <c r="C4" s="980" t="s">
        <v>26</v>
      </c>
      <c r="D4" s="980" t="s">
        <v>321</v>
      </c>
      <c r="E4" s="980" t="s">
        <v>9</v>
      </c>
      <c r="F4" s="980" t="s">
        <v>2</v>
      </c>
      <c r="G4" s="980" t="s">
        <v>3</v>
      </c>
      <c r="H4" s="980" t="s">
        <v>320</v>
      </c>
    </row>
    <row r="5" spans="1:8" x14ac:dyDescent="0.25">
      <c r="A5" s="981" t="s">
        <v>207</v>
      </c>
      <c r="B5" s="981" t="s">
        <v>944</v>
      </c>
      <c r="C5" s="981">
        <v>853</v>
      </c>
      <c r="D5" s="981">
        <v>302</v>
      </c>
      <c r="E5" s="981">
        <v>438</v>
      </c>
      <c r="F5" s="981">
        <v>12</v>
      </c>
      <c r="G5" s="981">
        <v>69</v>
      </c>
      <c r="H5" s="981">
        <v>32</v>
      </c>
    </row>
    <row r="6" spans="1:8" x14ac:dyDescent="0.25">
      <c r="A6" s="981" t="s">
        <v>207</v>
      </c>
      <c r="B6" s="981" t="s">
        <v>945</v>
      </c>
      <c r="C6" s="981">
        <v>2223</v>
      </c>
      <c r="D6" s="981">
        <v>1254</v>
      </c>
      <c r="E6" s="981">
        <v>691</v>
      </c>
      <c r="F6" s="981">
        <v>46</v>
      </c>
      <c r="G6" s="981">
        <v>174</v>
      </c>
      <c r="H6" s="981">
        <v>58</v>
      </c>
    </row>
    <row r="7" spans="1:8" x14ac:dyDescent="0.25">
      <c r="A7" s="981" t="s">
        <v>207</v>
      </c>
      <c r="B7" s="981" t="s">
        <v>112</v>
      </c>
      <c r="C7" s="981">
        <v>1667</v>
      </c>
      <c r="D7" s="981">
        <v>888</v>
      </c>
      <c r="E7" s="981">
        <v>540</v>
      </c>
      <c r="F7" s="981">
        <v>34</v>
      </c>
      <c r="G7" s="981">
        <v>142</v>
      </c>
      <c r="H7" s="981">
        <v>63</v>
      </c>
    </row>
    <row r="8" spans="1:8" x14ac:dyDescent="0.25">
      <c r="A8" s="981" t="s">
        <v>207</v>
      </c>
      <c r="B8" s="981" t="s">
        <v>113</v>
      </c>
      <c r="C8" s="981">
        <v>1943</v>
      </c>
      <c r="D8" s="981">
        <v>1024</v>
      </c>
      <c r="E8" s="981">
        <v>635</v>
      </c>
      <c r="F8" s="981">
        <v>42</v>
      </c>
      <c r="G8" s="981">
        <v>153</v>
      </c>
      <c r="H8" s="981">
        <v>89</v>
      </c>
    </row>
    <row r="9" spans="1:8" x14ac:dyDescent="0.25">
      <c r="A9" s="981" t="s">
        <v>207</v>
      </c>
      <c r="B9" s="981" t="s">
        <v>114</v>
      </c>
      <c r="C9" s="981">
        <v>1116</v>
      </c>
      <c r="D9" s="981">
        <v>486</v>
      </c>
      <c r="E9" s="981">
        <v>370</v>
      </c>
      <c r="F9" s="981">
        <v>52</v>
      </c>
      <c r="G9" s="981">
        <v>160</v>
      </c>
      <c r="H9" s="981">
        <v>48</v>
      </c>
    </row>
    <row r="10" spans="1:8" x14ac:dyDescent="0.25">
      <c r="A10" s="981" t="s">
        <v>207</v>
      </c>
      <c r="B10" s="981" t="s">
        <v>946</v>
      </c>
      <c r="C10" s="981">
        <v>623</v>
      </c>
      <c r="D10" s="981">
        <v>47</v>
      </c>
      <c r="E10" s="981">
        <v>253</v>
      </c>
      <c r="F10" s="981">
        <v>37</v>
      </c>
      <c r="G10" s="981">
        <v>248</v>
      </c>
      <c r="H10" s="981">
        <v>38</v>
      </c>
    </row>
    <row r="11" spans="1:8" x14ac:dyDescent="0.25">
      <c r="A11" s="981" t="s">
        <v>207</v>
      </c>
      <c r="B11" s="981" t="s">
        <v>947</v>
      </c>
      <c r="C11" s="981">
        <v>17</v>
      </c>
      <c r="D11" s="981">
        <v>0</v>
      </c>
      <c r="E11" s="981">
        <v>0</v>
      </c>
      <c r="F11" s="981">
        <v>0</v>
      </c>
      <c r="G11" s="981">
        <v>15</v>
      </c>
      <c r="H11" s="981">
        <v>2</v>
      </c>
    </row>
    <row r="12" spans="1:8" x14ac:dyDescent="0.25">
      <c r="A12" s="981" t="s">
        <v>207</v>
      </c>
      <c r="B12" s="981" t="s">
        <v>326</v>
      </c>
      <c r="C12" s="981">
        <v>42</v>
      </c>
      <c r="D12" s="981">
        <v>0</v>
      </c>
      <c r="E12" s="981">
        <v>13</v>
      </c>
      <c r="F12" s="981">
        <v>0</v>
      </c>
      <c r="G12" s="981">
        <v>0</v>
      </c>
      <c r="H12" s="981">
        <v>29</v>
      </c>
    </row>
    <row r="13" spans="1:8" x14ac:dyDescent="0.25">
      <c r="A13" s="981" t="s">
        <v>206</v>
      </c>
      <c r="B13" s="981" t="s">
        <v>108</v>
      </c>
      <c r="C13" s="981">
        <v>252</v>
      </c>
      <c r="D13" s="981">
        <v>47</v>
      </c>
      <c r="E13" s="981">
        <v>159</v>
      </c>
      <c r="F13" s="981">
        <v>9</v>
      </c>
      <c r="G13" s="981">
        <v>17</v>
      </c>
      <c r="H13" s="981">
        <v>20</v>
      </c>
    </row>
    <row r="14" spans="1:8" x14ac:dyDescent="0.25">
      <c r="A14" s="981" t="s">
        <v>206</v>
      </c>
      <c r="B14" s="981" t="s">
        <v>109</v>
      </c>
      <c r="C14" s="981">
        <v>547</v>
      </c>
      <c r="D14" s="981">
        <v>179</v>
      </c>
      <c r="E14" s="981">
        <v>287</v>
      </c>
      <c r="F14" s="981">
        <v>17</v>
      </c>
      <c r="G14" s="981">
        <v>41</v>
      </c>
      <c r="H14" s="981">
        <v>23</v>
      </c>
    </row>
    <row r="15" spans="1:8" x14ac:dyDescent="0.25">
      <c r="A15" s="981" t="s">
        <v>206</v>
      </c>
      <c r="B15" s="981" t="s">
        <v>110</v>
      </c>
      <c r="C15" s="981">
        <v>970</v>
      </c>
      <c r="D15" s="981">
        <v>529</v>
      </c>
      <c r="E15" s="981">
        <v>337</v>
      </c>
      <c r="F15" s="981">
        <v>18</v>
      </c>
      <c r="G15" s="981">
        <v>52</v>
      </c>
      <c r="H15" s="981">
        <v>34</v>
      </c>
    </row>
    <row r="16" spans="1:8" x14ac:dyDescent="0.25">
      <c r="A16" s="981" t="s">
        <v>206</v>
      </c>
      <c r="B16" s="981" t="s">
        <v>111</v>
      </c>
      <c r="C16" s="981">
        <v>1169</v>
      </c>
      <c r="D16" s="981">
        <v>668</v>
      </c>
      <c r="E16" s="981">
        <v>350</v>
      </c>
      <c r="F16" s="981">
        <v>27</v>
      </c>
      <c r="G16" s="981">
        <v>94</v>
      </c>
      <c r="H16" s="981">
        <v>30</v>
      </c>
    </row>
    <row r="17" spans="1:8" x14ac:dyDescent="0.25">
      <c r="A17" s="981" t="s">
        <v>206</v>
      </c>
      <c r="B17" s="981" t="s">
        <v>112</v>
      </c>
      <c r="C17" s="981">
        <v>1550</v>
      </c>
      <c r="D17" s="981">
        <v>822</v>
      </c>
      <c r="E17" s="981">
        <v>510</v>
      </c>
      <c r="F17" s="981">
        <v>35</v>
      </c>
      <c r="G17" s="981">
        <v>118</v>
      </c>
      <c r="H17" s="981">
        <v>65</v>
      </c>
    </row>
    <row r="18" spans="1:8" x14ac:dyDescent="0.25">
      <c r="A18" s="981" t="s">
        <v>206</v>
      </c>
      <c r="B18" s="981" t="s">
        <v>113</v>
      </c>
      <c r="C18" s="981">
        <v>1912</v>
      </c>
      <c r="D18" s="981">
        <v>1006</v>
      </c>
      <c r="E18" s="981">
        <v>627</v>
      </c>
      <c r="F18" s="981">
        <v>41</v>
      </c>
      <c r="G18" s="981">
        <v>149</v>
      </c>
      <c r="H18" s="981">
        <v>89</v>
      </c>
    </row>
    <row r="19" spans="1:8" x14ac:dyDescent="0.25">
      <c r="A19" s="981" t="s">
        <v>206</v>
      </c>
      <c r="B19" s="981" t="s">
        <v>114</v>
      </c>
      <c r="C19" s="981">
        <v>1201</v>
      </c>
      <c r="D19" s="981">
        <v>554</v>
      </c>
      <c r="E19" s="981">
        <v>398</v>
      </c>
      <c r="F19" s="981">
        <v>48</v>
      </c>
      <c r="G19" s="981">
        <v>148</v>
      </c>
      <c r="H19" s="981">
        <v>53</v>
      </c>
    </row>
    <row r="20" spans="1:8" x14ac:dyDescent="0.25">
      <c r="A20" s="981" t="s">
        <v>206</v>
      </c>
      <c r="B20" s="981" t="s">
        <v>115</v>
      </c>
      <c r="C20" s="981">
        <v>448</v>
      </c>
      <c r="D20" s="981">
        <v>50</v>
      </c>
      <c r="E20" s="981">
        <v>202</v>
      </c>
      <c r="F20" s="981">
        <v>31</v>
      </c>
      <c r="G20" s="981">
        <v>132</v>
      </c>
      <c r="H20" s="981">
        <v>33</v>
      </c>
    </row>
    <row r="21" spans="1:8" x14ac:dyDescent="0.25">
      <c r="A21" s="981" t="s">
        <v>206</v>
      </c>
      <c r="B21" s="981" t="s">
        <v>116</v>
      </c>
      <c r="C21" s="981">
        <v>178</v>
      </c>
      <c r="D21" s="981">
        <v>1</v>
      </c>
      <c r="E21" s="981">
        <v>71</v>
      </c>
      <c r="F21" s="981">
        <v>4</v>
      </c>
      <c r="G21" s="981">
        <v>93</v>
      </c>
      <c r="H21" s="981">
        <v>9</v>
      </c>
    </row>
    <row r="22" spans="1:8" x14ac:dyDescent="0.25">
      <c r="A22" s="981" t="s">
        <v>206</v>
      </c>
      <c r="B22" s="981" t="s">
        <v>117</v>
      </c>
      <c r="C22" s="981">
        <v>20</v>
      </c>
      <c r="D22" s="981">
        <v>0</v>
      </c>
      <c r="E22" s="981">
        <v>2</v>
      </c>
      <c r="F22" s="981">
        <v>0</v>
      </c>
      <c r="G22" s="981">
        <v>17</v>
      </c>
      <c r="H22" s="981">
        <v>1</v>
      </c>
    </row>
    <row r="23" spans="1:8" x14ac:dyDescent="0.25">
      <c r="A23" s="981" t="s">
        <v>206</v>
      </c>
      <c r="B23" s="981" t="s">
        <v>118</v>
      </c>
      <c r="C23" s="981">
        <v>6</v>
      </c>
      <c r="D23" s="981">
        <v>0</v>
      </c>
      <c r="E23" s="981">
        <v>0</v>
      </c>
      <c r="F23" s="981">
        <v>0</v>
      </c>
      <c r="G23" s="981">
        <v>6</v>
      </c>
      <c r="H23" s="981">
        <v>0</v>
      </c>
    </row>
    <row r="24" spans="1:8" x14ac:dyDescent="0.25">
      <c r="A24" s="981" t="s">
        <v>206</v>
      </c>
      <c r="B24" s="981" t="s">
        <v>326</v>
      </c>
      <c r="C24" s="981">
        <v>28</v>
      </c>
      <c r="D24" s="981">
        <v>0</v>
      </c>
      <c r="E24" s="981">
        <v>7</v>
      </c>
      <c r="F24" s="981">
        <v>0</v>
      </c>
      <c r="G24" s="981">
        <v>0</v>
      </c>
      <c r="H24" s="981">
        <v>21</v>
      </c>
    </row>
    <row r="25" spans="1:8" x14ac:dyDescent="0.25">
      <c r="A25" s="981" t="s">
        <v>205</v>
      </c>
      <c r="B25" s="981" t="s">
        <v>108</v>
      </c>
      <c r="C25" s="981">
        <v>258</v>
      </c>
      <c r="D25" s="981">
        <v>38</v>
      </c>
      <c r="E25" s="981">
        <v>180</v>
      </c>
      <c r="F25" s="981">
        <v>5</v>
      </c>
      <c r="G25" s="981">
        <v>20</v>
      </c>
      <c r="H25" s="981">
        <v>15</v>
      </c>
    </row>
    <row r="26" spans="1:8" x14ac:dyDescent="0.25">
      <c r="A26" s="981" t="s">
        <v>205</v>
      </c>
      <c r="B26" s="981" t="s">
        <v>109</v>
      </c>
      <c r="C26" s="981">
        <v>507</v>
      </c>
      <c r="D26" s="981">
        <v>145</v>
      </c>
      <c r="E26" s="981">
        <v>283</v>
      </c>
      <c r="F26" s="981">
        <v>14</v>
      </c>
      <c r="G26" s="981">
        <v>45</v>
      </c>
      <c r="H26" s="981">
        <v>20</v>
      </c>
    </row>
    <row r="27" spans="1:8" x14ac:dyDescent="0.25">
      <c r="A27" s="981" t="s">
        <v>205</v>
      </c>
      <c r="B27" s="981" t="s">
        <v>110</v>
      </c>
      <c r="C27" s="981">
        <v>879</v>
      </c>
      <c r="D27" s="981">
        <v>438</v>
      </c>
      <c r="E27" s="981">
        <v>335</v>
      </c>
      <c r="F27" s="981">
        <v>15</v>
      </c>
      <c r="G27" s="981">
        <v>64</v>
      </c>
      <c r="H27" s="981">
        <v>27</v>
      </c>
    </row>
    <row r="28" spans="1:8" x14ac:dyDescent="0.25">
      <c r="A28" s="981" t="s">
        <v>205</v>
      </c>
      <c r="B28" s="981" t="s">
        <v>111</v>
      </c>
      <c r="C28" s="981">
        <v>1145</v>
      </c>
      <c r="D28" s="981">
        <v>667</v>
      </c>
      <c r="E28" s="981">
        <v>352</v>
      </c>
      <c r="F28" s="981">
        <v>23</v>
      </c>
      <c r="G28" s="981">
        <v>73</v>
      </c>
      <c r="H28" s="981">
        <v>30</v>
      </c>
    </row>
    <row r="29" spans="1:8" x14ac:dyDescent="0.25">
      <c r="A29" s="981" t="s">
        <v>205</v>
      </c>
      <c r="B29" s="981" t="s">
        <v>112</v>
      </c>
      <c r="C29" s="981">
        <v>1387</v>
      </c>
      <c r="D29" s="981">
        <v>752</v>
      </c>
      <c r="E29" s="981">
        <v>456</v>
      </c>
      <c r="F29" s="981">
        <v>29</v>
      </c>
      <c r="G29" s="981">
        <v>102</v>
      </c>
      <c r="H29" s="981">
        <v>48</v>
      </c>
    </row>
    <row r="30" spans="1:8" x14ac:dyDescent="0.25">
      <c r="A30" s="981" t="s">
        <v>205</v>
      </c>
      <c r="B30" s="981" t="s">
        <v>113</v>
      </c>
      <c r="C30" s="981">
        <v>1813</v>
      </c>
      <c r="D30" s="981">
        <v>978</v>
      </c>
      <c r="E30" s="981">
        <v>576</v>
      </c>
      <c r="F30" s="981">
        <v>39</v>
      </c>
      <c r="G30" s="981">
        <v>144</v>
      </c>
      <c r="H30" s="981">
        <v>76</v>
      </c>
    </row>
    <row r="31" spans="1:8" x14ac:dyDescent="0.25">
      <c r="A31" s="981" t="s">
        <v>205</v>
      </c>
      <c r="B31" s="981" t="s">
        <v>114</v>
      </c>
      <c r="C31" s="981">
        <v>1287</v>
      </c>
      <c r="D31" s="981">
        <v>618</v>
      </c>
      <c r="E31" s="981">
        <v>432</v>
      </c>
      <c r="F31" s="981">
        <v>42</v>
      </c>
      <c r="G31" s="981">
        <v>139</v>
      </c>
      <c r="H31" s="981">
        <v>56</v>
      </c>
    </row>
    <row r="32" spans="1:8" x14ac:dyDescent="0.25">
      <c r="A32" s="981" t="s">
        <v>205</v>
      </c>
      <c r="B32" s="981" t="s">
        <v>115</v>
      </c>
      <c r="C32" s="981">
        <v>426</v>
      </c>
      <c r="D32" s="981">
        <v>51</v>
      </c>
      <c r="E32" s="981">
        <v>181</v>
      </c>
      <c r="F32" s="981">
        <v>34</v>
      </c>
      <c r="G32" s="981">
        <v>124</v>
      </c>
      <c r="H32" s="981">
        <v>36</v>
      </c>
    </row>
    <row r="33" spans="1:8" x14ac:dyDescent="0.25">
      <c r="A33" s="981" t="s">
        <v>205</v>
      </c>
      <c r="B33" s="981" t="s">
        <v>116</v>
      </c>
      <c r="C33" s="981">
        <v>179</v>
      </c>
      <c r="D33" s="981">
        <v>2</v>
      </c>
      <c r="E33" s="981">
        <v>62</v>
      </c>
      <c r="F33" s="981">
        <v>2</v>
      </c>
      <c r="G33" s="981">
        <v>99</v>
      </c>
      <c r="H33" s="981">
        <v>14</v>
      </c>
    </row>
    <row r="34" spans="1:8" x14ac:dyDescent="0.25">
      <c r="A34" s="981" t="s">
        <v>205</v>
      </c>
      <c r="B34" s="981" t="s">
        <v>117</v>
      </c>
      <c r="C34" s="981">
        <v>19</v>
      </c>
      <c r="D34" s="981">
        <v>0</v>
      </c>
      <c r="E34" s="981">
        <v>5</v>
      </c>
      <c r="F34" s="981">
        <v>0</v>
      </c>
      <c r="G34" s="981">
        <v>12</v>
      </c>
      <c r="H34" s="981">
        <v>2</v>
      </c>
    </row>
    <row r="35" spans="1:8" x14ac:dyDescent="0.25">
      <c r="A35" s="981" t="s">
        <v>205</v>
      </c>
      <c r="B35" s="981" t="s">
        <v>118</v>
      </c>
      <c r="C35" s="981">
        <v>6</v>
      </c>
      <c r="D35" s="981">
        <v>0</v>
      </c>
      <c r="E35" s="981">
        <v>0</v>
      </c>
      <c r="F35" s="981">
        <v>0</v>
      </c>
      <c r="G35" s="981">
        <v>6</v>
      </c>
      <c r="H35" s="981">
        <v>0</v>
      </c>
    </row>
    <row r="36" spans="1:8" x14ac:dyDescent="0.25">
      <c r="A36" s="981" t="s">
        <v>205</v>
      </c>
      <c r="B36" s="981" t="s">
        <v>948</v>
      </c>
      <c r="C36" s="981">
        <v>12</v>
      </c>
      <c r="D36" s="981">
        <v>0</v>
      </c>
      <c r="E36" s="981">
        <v>0</v>
      </c>
      <c r="F36" s="981">
        <v>0</v>
      </c>
      <c r="G36" s="981">
        <v>0</v>
      </c>
      <c r="H36" s="981">
        <v>12</v>
      </c>
    </row>
    <row r="37" spans="1:8" x14ac:dyDescent="0.25">
      <c r="A37" s="981" t="s">
        <v>205</v>
      </c>
      <c r="B37" s="981" t="s">
        <v>326</v>
      </c>
      <c r="C37" s="981">
        <v>15</v>
      </c>
      <c r="D37" s="981">
        <v>1</v>
      </c>
      <c r="E37" s="981">
        <v>8</v>
      </c>
      <c r="F37" s="981">
        <v>0</v>
      </c>
      <c r="G37" s="981">
        <v>0</v>
      </c>
      <c r="H37" s="981">
        <v>6</v>
      </c>
    </row>
    <row r="38" spans="1:8" x14ac:dyDescent="0.25">
      <c r="A38" s="981" t="s">
        <v>278</v>
      </c>
      <c r="B38" s="981" t="s">
        <v>108</v>
      </c>
      <c r="C38" s="981">
        <v>253</v>
      </c>
      <c r="D38" s="981">
        <v>51</v>
      </c>
      <c r="E38" s="981">
        <v>174</v>
      </c>
      <c r="F38" s="981">
        <v>1</v>
      </c>
      <c r="G38" s="981">
        <v>17</v>
      </c>
      <c r="H38" s="981">
        <v>10</v>
      </c>
    </row>
    <row r="39" spans="1:8" x14ac:dyDescent="0.25">
      <c r="A39" s="981" t="s">
        <v>278</v>
      </c>
      <c r="B39" s="981" t="s">
        <v>109</v>
      </c>
      <c r="C39" s="981">
        <v>516</v>
      </c>
      <c r="D39" s="981">
        <v>144</v>
      </c>
      <c r="E39" s="981">
        <v>295</v>
      </c>
      <c r="F39" s="981">
        <v>16</v>
      </c>
      <c r="G39" s="981">
        <v>41</v>
      </c>
      <c r="H39" s="981">
        <v>20</v>
      </c>
    </row>
    <row r="40" spans="1:8" x14ac:dyDescent="0.25">
      <c r="A40" s="981" t="s">
        <v>278</v>
      </c>
      <c r="B40" s="981" t="s">
        <v>110</v>
      </c>
      <c r="C40" s="981">
        <v>845</v>
      </c>
      <c r="D40" s="981">
        <v>398</v>
      </c>
      <c r="E40" s="981">
        <v>337</v>
      </c>
      <c r="F40" s="981">
        <v>13</v>
      </c>
      <c r="G40" s="981">
        <v>71</v>
      </c>
      <c r="H40" s="981">
        <v>26</v>
      </c>
    </row>
    <row r="41" spans="1:8" x14ac:dyDescent="0.25">
      <c r="A41" s="981" t="s">
        <v>278</v>
      </c>
      <c r="B41" s="981" t="s">
        <v>111</v>
      </c>
      <c r="C41" s="981">
        <v>1177</v>
      </c>
      <c r="D41" s="981">
        <v>661</v>
      </c>
      <c r="E41" s="981">
        <v>387</v>
      </c>
      <c r="F41" s="981">
        <v>21</v>
      </c>
      <c r="G41" s="981">
        <v>73</v>
      </c>
      <c r="H41" s="981">
        <v>35</v>
      </c>
    </row>
    <row r="42" spans="1:8" x14ac:dyDescent="0.25">
      <c r="A42" s="981" t="s">
        <v>278</v>
      </c>
      <c r="B42" s="981" t="s">
        <v>112</v>
      </c>
      <c r="C42" s="981">
        <v>1247</v>
      </c>
      <c r="D42" s="981">
        <v>689</v>
      </c>
      <c r="E42" s="981">
        <v>392</v>
      </c>
      <c r="F42" s="981">
        <v>20</v>
      </c>
      <c r="G42" s="981">
        <v>111</v>
      </c>
      <c r="H42" s="981">
        <v>35</v>
      </c>
    </row>
    <row r="43" spans="1:8" x14ac:dyDescent="0.25">
      <c r="A43" s="981" t="s">
        <v>278</v>
      </c>
      <c r="B43" s="981" t="s">
        <v>113</v>
      </c>
      <c r="C43" s="981">
        <v>1766</v>
      </c>
      <c r="D43" s="981">
        <v>968</v>
      </c>
      <c r="E43" s="981">
        <v>555</v>
      </c>
      <c r="F43" s="981">
        <v>29</v>
      </c>
      <c r="G43" s="981">
        <v>144</v>
      </c>
      <c r="H43" s="981">
        <v>70</v>
      </c>
    </row>
    <row r="44" spans="1:8" x14ac:dyDescent="0.25">
      <c r="A44" s="981" t="s">
        <v>278</v>
      </c>
      <c r="B44" s="981" t="s">
        <v>114</v>
      </c>
      <c r="C44" s="981">
        <v>1354</v>
      </c>
      <c r="D44" s="981">
        <v>658</v>
      </c>
      <c r="E44" s="981">
        <v>460</v>
      </c>
      <c r="F44" s="981">
        <v>36</v>
      </c>
      <c r="G44" s="981">
        <v>135</v>
      </c>
      <c r="H44" s="981">
        <v>65</v>
      </c>
    </row>
    <row r="45" spans="1:8" x14ac:dyDescent="0.25">
      <c r="A45" s="981" t="s">
        <v>278</v>
      </c>
      <c r="B45" s="981" t="s">
        <v>115</v>
      </c>
      <c r="C45" s="981">
        <v>444</v>
      </c>
      <c r="D45" s="981">
        <v>73</v>
      </c>
      <c r="E45" s="981">
        <v>178</v>
      </c>
      <c r="F45" s="981">
        <v>25</v>
      </c>
      <c r="G45" s="981">
        <v>133</v>
      </c>
      <c r="H45" s="981">
        <v>35</v>
      </c>
    </row>
    <row r="46" spans="1:8" x14ac:dyDescent="0.25">
      <c r="A46" s="981" t="s">
        <v>278</v>
      </c>
      <c r="B46" s="981" t="s">
        <v>116</v>
      </c>
      <c r="C46" s="981">
        <v>188</v>
      </c>
      <c r="D46" s="981">
        <v>3</v>
      </c>
      <c r="E46" s="981">
        <v>73</v>
      </c>
      <c r="F46" s="981">
        <v>4</v>
      </c>
      <c r="G46" s="981">
        <v>91</v>
      </c>
      <c r="H46" s="981">
        <v>17</v>
      </c>
    </row>
    <row r="47" spans="1:8" x14ac:dyDescent="0.25">
      <c r="A47" s="981" t="s">
        <v>278</v>
      </c>
      <c r="B47" s="981" t="s">
        <v>117</v>
      </c>
      <c r="C47" s="981">
        <v>20</v>
      </c>
      <c r="D47" s="981">
        <v>0</v>
      </c>
      <c r="E47" s="981">
        <v>3</v>
      </c>
      <c r="F47" s="981">
        <v>0</v>
      </c>
      <c r="G47" s="981">
        <v>16</v>
      </c>
      <c r="H47" s="981">
        <v>1</v>
      </c>
    </row>
    <row r="48" spans="1:8" x14ac:dyDescent="0.25">
      <c r="A48" s="981" t="s">
        <v>278</v>
      </c>
      <c r="B48" s="981" t="s">
        <v>118</v>
      </c>
      <c r="C48" s="981">
        <v>6</v>
      </c>
      <c r="D48" s="981">
        <v>0</v>
      </c>
      <c r="E48" s="981">
        <v>0</v>
      </c>
      <c r="F48" s="981">
        <v>0</v>
      </c>
      <c r="G48" s="981">
        <v>5</v>
      </c>
      <c r="H48" s="981">
        <v>1</v>
      </c>
    </row>
    <row r="49" spans="1:8" x14ac:dyDescent="0.25">
      <c r="A49" s="981" t="s">
        <v>278</v>
      </c>
      <c r="B49" s="981" t="s">
        <v>326</v>
      </c>
      <c r="C49" s="981">
        <v>18</v>
      </c>
      <c r="D49" s="981">
        <v>0</v>
      </c>
      <c r="E49" s="981">
        <v>16</v>
      </c>
      <c r="F49" s="981">
        <v>0</v>
      </c>
      <c r="G49" s="981">
        <v>1</v>
      </c>
      <c r="H49" s="981">
        <v>1</v>
      </c>
    </row>
    <row r="50" spans="1:8" x14ac:dyDescent="0.25">
      <c r="A50" s="981" t="s">
        <v>259</v>
      </c>
      <c r="B50" s="981" t="s">
        <v>108</v>
      </c>
      <c r="C50" s="981">
        <v>188</v>
      </c>
      <c r="D50" s="981">
        <v>24</v>
      </c>
      <c r="E50" s="981">
        <v>135</v>
      </c>
      <c r="F50" s="981">
        <v>5</v>
      </c>
      <c r="G50" s="981">
        <v>14</v>
      </c>
      <c r="H50" s="981">
        <v>10</v>
      </c>
    </row>
    <row r="51" spans="1:8" x14ac:dyDescent="0.25">
      <c r="A51" s="981" t="s">
        <v>259</v>
      </c>
      <c r="B51" s="981" t="s">
        <v>109</v>
      </c>
      <c r="C51" s="981">
        <v>524</v>
      </c>
      <c r="D51" s="981">
        <v>149</v>
      </c>
      <c r="E51" s="981">
        <v>298</v>
      </c>
      <c r="F51" s="981">
        <v>23</v>
      </c>
      <c r="G51" s="981">
        <v>35</v>
      </c>
      <c r="H51" s="981">
        <v>19</v>
      </c>
    </row>
    <row r="52" spans="1:8" x14ac:dyDescent="0.25">
      <c r="A52" s="981" t="s">
        <v>259</v>
      </c>
      <c r="B52" s="981" t="s">
        <v>110</v>
      </c>
      <c r="C52" s="981">
        <v>815</v>
      </c>
      <c r="D52" s="981">
        <v>320</v>
      </c>
      <c r="E52" s="981">
        <v>366</v>
      </c>
      <c r="F52" s="981">
        <v>26</v>
      </c>
      <c r="G52" s="981">
        <v>71</v>
      </c>
      <c r="H52" s="981">
        <v>32</v>
      </c>
    </row>
    <row r="53" spans="1:8" x14ac:dyDescent="0.25">
      <c r="A53" s="981" t="s">
        <v>259</v>
      </c>
      <c r="B53" s="981" t="s">
        <v>111</v>
      </c>
      <c r="C53" s="981">
        <v>1107</v>
      </c>
      <c r="D53" s="981">
        <v>605</v>
      </c>
      <c r="E53" s="981">
        <v>375</v>
      </c>
      <c r="F53" s="981">
        <v>22</v>
      </c>
      <c r="G53" s="981">
        <v>70</v>
      </c>
      <c r="H53" s="981">
        <v>35</v>
      </c>
    </row>
    <row r="54" spans="1:8" x14ac:dyDescent="0.25">
      <c r="A54" s="981" t="s">
        <v>259</v>
      </c>
      <c r="B54" s="981" t="s">
        <v>112</v>
      </c>
      <c r="C54" s="981">
        <v>1180</v>
      </c>
      <c r="D54" s="981">
        <v>661</v>
      </c>
      <c r="E54" s="981">
        <v>359</v>
      </c>
      <c r="F54" s="981">
        <v>21</v>
      </c>
      <c r="G54" s="981">
        <v>103</v>
      </c>
      <c r="H54" s="981">
        <v>36</v>
      </c>
    </row>
    <row r="55" spans="1:8" x14ac:dyDescent="0.25">
      <c r="A55" s="981" t="s">
        <v>259</v>
      </c>
      <c r="B55" s="981" t="s">
        <v>113</v>
      </c>
      <c r="C55" s="981">
        <v>1602</v>
      </c>
      <c r="D55" s="981">
        <v>880</v>
      </c>
      <c r="E55" s="981">
        <v>494</v>
      </c>
      <c r="F55" s="981">
        <v>27</v>
      </c>
      <c r="G55" s="981">
        <v>139</v>
      </c>
      <c r="H55" s="981">
        <v>62</v>
      </c>
    </row>
    <row r="56" spans="1:8" x14ac:dyDescent="0.25">
      <c r="A56" s="981" t="s">
        <v>259</v>
      </c>
      <c r="B56" s="981" t="s">
        <v>114</v>
      </c>
      <c r="C56" s="981">
        <v>1527</v>
      </c>
      <c r="D56" s="981">
        <v>775</v>
      </c>
      <c r="E56" s="981">
        <v>499</v>
      </c>
      <c r="F56" s="981">
        <v>33</v>
      </c>
      <c r="G56" s="981">
        <v>140</v>
      </c>
      <c r="H56" s="981">
        <v>80</v>
      </c>
    </row>
    <row r="57" spans="1:8" x14ac:dyDescent="0.25">
      <c r="A57" s="981" t="s">
        <v>259</v>
      </c>
      <c r="B57" s="981" t="s">
        <v>115</v>
      </c>
      <c r="C57" s="981">
        <v>562</v>
      </c>
      <c r="D57" s="981">
        <v>124</v>
      </c>
      <c r="E57" s="981">
        <v>237</v>
      </c>
      <c r="F57" s="981">
        <v>29</v>
      </c>
      <c r="G57" s="981">
        <v>141</v>
      </c>
      <c r="H57" s="981">
        <v>31</v>
      </c>
    </row>
    <row r="58" spans="1:8" x14ac:dyDescent="0.25">
      <c r="A58" s="981" t="s">
        <v>259</v>
      </c>
      <c r="B58" s="981" t="s">
        <v>116</v>
      </c>
      <c r="C58" s="981">
        <v>207</v>
      </c>
      <c r="D58" s="981">
        <v>7</v>
      </c>
      <c r="E58" s="981">
        <v>84</v>
      </c>
      <c r="F58" s="981">
        <v>3</v>
      </c>
      <c r="G58" s="981">
        <v>93</v>
      </c>
      <c r="H58" s="981">
        <v>20</v>
      </c>
    </row>
    <row r="59" spans="1:8" x14ac:dyDescent="0.25">
      <c r="A59" s="981" t="s">
        <v>259</v>
      </c>
      <c r="B59" s="981" t="s">
        <v>117</v>
      </c>
      <c r="C59" s="981">
        <v>50</v>
      </c>
      <c r="D59" s="981">
        <v>1</v>
      </c>
      <c r="E59" s="981">
        <v>12</v>
      </c>
      <c r="F59" s="981"/>
      <c r="G59" s="981">
        <v>32</v>
      </c>
      <c r="H59" s="981">
        <v>5</v>
      </c>
    </row>
    <row r="60" spans="1:8" x14ac:dyDescent="0.25">
      <c r="A60" s="981" t="s">
        <v>259</v>
      </c>
      <c r="B60" s="981" t="s">
        <v>118</v>
      </c>
      <c r="C60" s="981">
        <v>9</v>
      </c>
      <c r="D60" s="981"/>
      <c r="E60" s="981">
        <v>1</v>
      </c>
      <c r="F60" s="981"/>
      <c r="G60" s="981">
        <v>8</v>
      </c>
      <c r="H60" s="981"/>
    </row>
    <row r="61" spans="1:8" x14ac:dyDescent="0.25">
      <c r="A61" s="981" t="s">
        <v>259</v>
      </c>
      <c r="B61" s="981" t="s">
        <v>326</v>
      </c>
      <c r="C61" s="981">
        <v>5</v>
      </c>
      <c r="D61" s="981"/>
      <c r="E61" s="981">
        <v>3</v>
      </c>
      <c r="F61" s="981"/>
      <c r="G61" s="981"/>
      <c r="H61" s="981">
        <v>2</v>
      </c>
    </row>
    <row r="62" spans="1:8" x14ac:dyDescent="0.25">
      <c r="A62" s="981" t="s">
        <v>258</v>
      </c>
      <c r="B62" s="981" t="s">
        <v>108</v>
      </c>
      <c r="C62" s="981">
        <v>230</v>
      </c>
      <c r="D62" s="981">
        <v>47</v>
      </c>
      <c r="E62" s="981">
        <v>140</v>
      </c>
      <c r="F62" s="981">
        <v>12</v>
      </c>
      <c r="G62" s="981">
        <v>18</v>
      </c>
      <c r="H62" s="981">
        <v>13</v>
      </c>
    </row>
    <row r="63" spans="1:8" x14ac:dyDescent="0.25">
      <c r="A63" s="981" t="s">
        <v>258</v>
      </c>
      <c r="B63" s="981" t="s">
        <v>109</v>
      </c>
      <c r="C63" s="981">
        <v>607</v>
      </c>
      <c r="D63" s="981">
        <v>214</v>
      </c>
      <c r="E63" s="981">
        <v>309</v>
      </c>
      <c r="F63" s="981">
        <v>25</v>
      </c>
      <c r="G63" s="981">
        <v>40</v>
      </c>
      <c r="H63" s="981">
        <v>19</v>
      </c>
    </row>
    <row r="64" spans="1:8" x14ac:dyDescent="0.25">
      <c r="A64" s="981" t="s">
        <v>258</v>
      </c>
      <c r="B64" s="981" t="s">
        <v>110</v>
      </c>
      <c r="C64" s="981">
        <v>838</v>
      </c>
      <c r="D64" s="981">
        <v>339</v>
      </c>
      <c r="E64" s="981">
        <v>374</v>
      </c>
      <c r="F64" s="981">
        <v>36</v>
      </c>
      <c r="G64" s="981">
        <v>61</v>
      </c>
      <c r="H64" s="981">
        <v>28</v>
      </c>
    </row>
    <row r="65" spans="1:8" x14ac:dyDescent="0.25">
      <c r="A65" s="981" t="s">
        <v>258</v>
      </c>
      <c r="B65" s="981" t="s">
        <v>111</v>
      </c>
      <c r="C65" s="981">
        <v>1104</v>
      </c>
      <c r="D65" s="981">
        <v>595</v>
      </c>
      <c r="E65" s="981">
        <v>385</v>
      </c>
      <c r="F65" s="981">
        <v>24</v>
      </c>
      <c r="G65" s="981">
        <v>71</v>
      </c>
      <c r="H65" s="981">
        <v>29</v>
      </c>
    </row>
    <row r="66" spans="1:8" x14ac:dyDescent="0.25">
      <c r="A66" s="981" t="s">
        <v>258</v>
      </c>
      <c r="B66" s="981" t="s">
        <v>112</v>
      </c>
      <c r="C66" s="981">
        <v>1207</v>
      </c>
      <c r="D66" s="981">
        <v>687</v>
      </c>
      <c r="E66" s="981">
        <v>376</v>
      </c>
      <c r="F66" s="981">
        <v>20</v>
      </c>
      <c r="G66" s="981">
        <v>91</v>
      </c>
      <c r="H66" s="981">
        <v>33</v>
      </c>
    </row>
    <row r="67" spans="1:8" x14ac:dyDescent="0.25">
      <c r="A67" s="981" t="s">
        <v>258</v>
      </c>
      <c r="B67" s="981" t="s">
        <v>113</v>
      </c>
      <c r="C67" s="981">
        <v>1514</v>
      </c>
      <c r="D67" s="981">
        <v>828</v>
      </c>
      <c r="E67" s="981">
        <v>468</v>
      </c>
      <c r="F67" s="981">
        <v>27</v>
      </c>
      <c r="G67" s="981">
        <v>134</v>
      </c>
      <c r="H67" s="981">
        <v>57</v>
      </c>
    </row>
    <row r="68" spans="1:8" x14ac:dyDescent="0.25">
      <c r="A68" s="981" t="s">
        <v>258</v>
      </c>
      <c r="B68" s="981" t="s">
        <v>114</v>
      </c>
      <c r="C68" s="981">
        <v>1496</v>
      </c>
      <c r="D68" s="981">
        <v>749</v>
      </c>
      <c r="E68" s="981">
        <v>514</v>
      </c>
      <c r="F68" s="981">
        <v>28</v>
      </c>
      <c r="G68" s="981">
        <v>132</v>
      </c>
      <c r="H68" s="981">
        <v>73</v>
      </c>
    </row>
    <row r="69" spans="1:8" x14ac:dyDescent="0.25">
      <c r="A69" s="981" t="s">
        <v>258</v>
      </c>
      <c r="B69" s="981" t="s">
        <v>115</v>
      </c>
      <c r="C69" s="981">
        <v>631</v>
      </c>
      <c r="D69" s="981">
        <v>168</v>
      </c>
      <c r="E69" s="981">
        <v>268</v>
      </c>
      <c r="F69" s="981">
        <v>30</v>
      </c>
      <c r="G69" s="981">
        <v>126</v>
      </c>
      <c r="H69" s="981">
        <v>39</v>
      </c>
    </row>
    <row r="70" spans="1:8" x14ac:dyDescent="0.25">
      <c r="A70" s="981" t="s">
        <v>258</v>
      </c>
      <c r="B70" s="981" t="s">
        <v>116</v>
      </c>
      <c r="C70" s="981">
        <v>218</v>
      </c>
      <c r="D70" s="981">
        <v>9</v>
      </c>
      <c r="E70" s="981">
        <v>95</v>
      </c>
      <c r="F70" s="981">
        <v>5</v>
      </c>
      <c r="G70" s="981">
        <v>89</v>
      </c>
      <c r="H70" s="981">
        <v>20</v>
      </c>
    </row>
    <row r="71" spans="1:8" x14ac:dyDescent="0.25">
      <c r="A71" s="981" t="s">
        <v>258</v>
      </c>
      <c r="B71" s="981" t="s">
        <v>117</v>
      </c>
      <c r="C71" s="981">
        <v>53</v>
      </c>
      <c r="D71" s="981">
        <v>1</v>
      </c>
      <c r="E71" s="981">
        <v>20</v>
      </c>
      <c r="F71" s="981"/>
      <c r="G71" s="981">
        <v>26</v>
      </c>
      <c r="H71" s="981">
        <v>6</v>
      </c>
    </row>
    <row r="72" spans="1:8" x14ac:dyDescent="0.25">
      <c r="A72" s="981" t="s">
        <v>258</v>
      </c>
      <c r="B72" s="981" t="s">
        <v>118</v>
      </c>
      <c r="C72" s="981">
        <v>2</v>
      </c>
      <c r="D72" s="981"/>
      <c r="E72" s="981"/>
      <c r="F72" s="981"/>
      <c r="G72" s="981">
        <v>2</v>
      </c>
      <c r="H72" s="981"/>
    </row>
    <row r="73" spans="1:8" x14ac:dyDescent="0.25">
      <c r="A73" s="981" t="s">
        <v>258</v>
      </c>
      <c r="B73" s="981" t="s">
        <v>326</v>
      </c>
      <c r="C73" s="981">
        <v>6</v>
      </c>
      <c r="D73" s="981"/>
      <c r="E73" s="981">
        <v>4</v>
      </c>
      <c r="F73" s="981"/>
      <c r="G73" s="981">
        <v>2</v>
      </c>
      <c r="H73" s="981"/>
    </row>
  </sheetData>
  <mergeCells count="1">
    <mergeCell ref="A2:B2"/>
  </mergeCells>
  <pageMargins left="0.7" right="0.7" top="0.75" bottom="0.75" header="0.3" footer="0.3"/>
  <pageSetup paperSize="9" fitToHeight="50"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4:G22"/>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7" x14ac:dyDescent="0.25">
      <c r="A4" s="980" t="s">
        <v>274</v>
      </c>
      <c r="B4" s="980" t="s">
        <v>951</v>
      </c>
      <c r="C4" s="980" t="s">
        <v>26</v>
      </c>
      <c r="D4" s="980" t="s">
        <v>2</v>
      </c>
      <c r="E4" s="980" t="s">
        <v>9</v>
      </c>
      <c r="F4" s="980" t="s">
        <v>320</v>
      </c>
      <c r="G4" s="980" t="s">
        <v>321</v>
      </c>
    </row>
    <row r="5" spans="1:7" x14ac:dyDescent="0.25">
      <c r="A5" s="981" t="s">
        <v>259</v>
      </c>
      <c r="B5" s="981" t="s">
        <v>188</v>
      </c>
      <c r="C5" s="981">
        <v>1325</v>
      </c>
      <c r="D5" s="981">
        <v>26</v>
      </c>
      <c r="E5" s="981">
        <v>434</v>
      </c>
      <c r="F5" s="981">
        <v>51</v>
      </c>
      <c r="G5" s="981">
        <v>814</v>
      </c>
    </row>
    <row r="6" spans="1:7" x14ac:dyDescent="0.25">
      <c r="A6" s="981" t="s">
        <v>259</v>
      </c>
      <c r="B6" s="981" t="s">
        <v>189</v>
      </c>
      <c r="C6" s="981">
        <v>1294</v>
      </c>
      <c r="D6" s="981">
        <v>22</v>
      </c>
      <c r="E6" s="981">
        <v>429</v>
      </c>
      <c r="F6" s="981">
        <v>54</v>
      </c>
      <c r="G6" s="981">
        <v>789</v>
      </c>
    </row>
    <row r="7" spans="1:7" x14ac:dyDescent="0.25">
      <c r="A7" s="981" t="s">
        <v>259</v>
      </c>
      <c r="B7" s="981" t="s">
        <v>108</v>
      </c>
      <c r="C7" s="981">
        <v>891</v>
      </c>
      <c r="D7" s="981">
        <v>15</v>
      </c>
      <c r="E7" s="981">
        <v>272</v>
      </c>
      <c r="F7" s="981">
        <v>23</v>
      </c>
      <c r="G7" s="981">
        <v>581</v>
      </c>
    </row>
    <row r="8" spans="1:7" x14ac:dyDescent="0.25">
      <c r="A8" s="981" t="s">
        <v>259</v>
      </c>
      <c r="B8" s="981" t="s">
        <v>109</v>
      </c>
      <c r="C8" s="981">
        <v>893</v>
      </c>
      <c r="D8" s="981">
        <v>21</v>
      </c>
      <c r="E8" s="981">
        <v>262</v>
      </c>
      <c r="F8" s="981">
        <v>25</v>
      </c>
      <c r="G8" s="981">
        <v>585</v>
      </c>
    </row>
    <row r="9" spans="1:7" x14ac:dyDescent="0.25">
      <c r="A9" s="981" t="s">
        <v>259</v>
      </c>
      <c r="B9" s="981" t="s">
        <v>110</v>
      </c>
      <c r="C9" s="981">
        <v>271</v>
      </c>
      <c r="D9" s="981">
        <v>16</v>
      </c>
      <c r="E9" s="981">
        <v>134</v>
      </c>
      <c r="F9" s="981">
        <v>12</v>
      </c>
      <c r="G9" s="981">
        <v>109</v>
      </c>
    </row>
    <row r="10" spans="1:7" x14ac:dyDescent="0.25">
      <c r="A10" s="981" t="s">
        <v>259</v>
      </c>
      <c r="B10" s="981" t="s">
        <v>111</v>
      </c>
      <c r="C10" s="981">
        <v>69</v>
      </c>
      <c r="D10" s="981">
        <v>11</v>
      </c>
      <c r="E10" s="981">
        <v>47</v>
      </c>
      <c r="F10" s="981">
        <v>4</v>
      </c>
      <c r="G10" s="981">
        <v>7</v>
      </c>
    </row>
    <row r="11" spans="1:7" x14ac:dyDescent="0.25">
      <c r="A11" s="981" t="s">
        <v>259</v>
      </c>
      <c r="B11" s="981" t="s">
        <v>187</v>
      </c>
      <c r="C11" s="981">
        <v>1100</v>
      </c>
      <c r="D11" s="981">
        <v>17</v>
      </c>
      <c r="E11" s="981">
        <v>572</v>
      </c>
      <c r="F11" s="981">
        <v>64</v>
      </c>
      <c r="G11" s="981">
        <v>447</v>
      </c>
    </row>
    <row r="12" spans="1:7" x14ac:dyDescent="0.25">
      <c r="A12" s="981" t="s">
        <v>259</v>
      </c>
      <c r="B12" s="981" t="s">
        <v>327</v>
      </c>
      <c r="C12" s="981">
        <v>30</v>
      </c>
      <c r="D12" s="981">
        <v>5</v>
      </c>
      <c r="E12" s="981">
        <v>22</v>
      </c>
      <c r="F12" s="981">
        <v>2</v>
      </c>
      <c r="G12" s="981">
        <v>1</v>
      </c>
    </row>
    <row r="13" spans="1:7" x14ac:dyDescent="0.25">
      <c r="A13" s="981" t="s">
        <v>259</v>
      </c>
      <c r="B13" s="981" t="s">
        <v>328</v>
      </c>
      <c r="C13" s="981">
        <v>1057</v>
      </c>
      <c r="D13" s="981">
        <v>56</v>
      </c>
      <c r="E13" s="981">
        <v>691</v>
      </c>
      <c r="F13" s="981">
        <v>97</v>
      </c>
      <c r="G13" s="981">
        <v>213</v>
      </c>
    </row>
    <row r="14" spans="1:7" x14ac:dyDescent="0.25">
      <c r="A14" s="981" t="s">
        <v>258</v>
      </c>
      <c r="B14" s="981" t="s">
        <v>188</v>
      </c>
      <c r="C14" s="981">
        <v>1584</v>
      </c>
      <c r="D14" s="981">
        <v>30</v>
      </c>
      <c r="E14" s="981">
        <v>442</v>
      </c>
      <c r="F14" s="981">
        <v>47</v>
      </c>
      <c r="G14" s="981">
        <v>879</v>
      </c>
    </row>
    <row r="15" spans="1:7" x14ac:dyDescent="0.25">
      <c r="A15" s="981" t="s">
        <v>258</v>
      </c>
      <c r="B15" s="981" t="s">
        <v>189</v>
      </c>
      <c r="C15" s="981">
        <v>1359</v>
      </c>
      <c r="D15" s="981">
        <v>19</v>
      </c>
      <c r="E15" s="981">
        <v>405</v>
      </c>
      <c r="F15" s="981">
        <v>54</v>
      </c>
      <c r="G15" s="981">
        <v>781</v>
      </c>
    </row>
    <row r="16" spans="1:7" x14ac:dyDescent="0.25">
      <c r="A16" s="981" t="s">
        <v>258</v>
      </c>
      <c r="B16" s="981" t="s">
        <v>108</v>
      </c>
      <c r="C16" s="981">
        <v>990</v>
      </c>
      <c r="D16" s="981">
        <v>18</v>
      </c>
      <c r="E16" s="981">
        <v>294</v>
      </c>
      <c r="F16" s="981">
        <v>25</v>
      </c>
      <c r="G16" s="981">
        <v>589</v>
      </c>
    </row>
    <row r="17" spans="1:7" x14ac:dyDescent="0.25">
      <c r="A17" s="981" t="s">
        <v>258</v>
      </c>
      <c r="B17" s="981" t="s">
        <v>109</v>
      </c>
      <c r="C17" s="981">
        <v>901</v>
      </c>
      <c r="D17" s="981">
        <v>19</v>
      </c>
      <c r="E17" s="981">
        <v>248</v>
      </c>
      <c r="F17" s="981">
        <v>22</v>
      </c>
      <c r="G17" s="981">
        <v>551</v>
      </c>
    </row>
    <row r="18" spans="1:7" x14ac:dyDescent="0.25">
      <c r="A18" s="981" t="s">
        <v>258</v>
      </c>
      <c r="B18" s="981" t="s">
        <v>110</v>
      </c>
      <c r="C18" s="981">
        <v>329</v>
      </c>
      <c r="D18" s="981">
        <v>19</v>
      </c>
      <c r="E18" s="981">
        <v>158</v>
      </c>
      <c r="F18" s="981">
        <v>15</v>
      </c>
      <c r="G18" s="981">
        <v>99</v>
      </c>
    </row>
    <row r="19" spans="1:7" x14ac:dyDescent="0.25">
      <c r="A19" s="981" t="s">
        <v>258</v>
      </c>
      <c r="B19" s="981" t="s">
        <v>111</v>
      </c>
      <c r="C19" s="981">
        <v>86</v>
      </c>
      <c r="D19" s="981">
        <v>9</v>
      </c>
      <c r="E19" s="981">
        <v>53</v>
      </c>
      <c r="F19" s="981">
        <v>1</v>
      </c>
      <c r="G19" s="981">
        <v>4</v>
      </c>
    </row>
    <row r="20" spans="1:7" x14ac:dyDescent="0.25">
      <c r="A20" s="981" t="s">
        <v>258</v>
      </c>
      <c r="B20" s="981" t="s">
        <v>187</v>
      </c>
      <c r="C20" s="981">
        <v>1081</v>
      </c>
      <c r="D20" s="981">
        <v>27</v>
      </c>
      <c r="E20" s="981">
        <v>581</v>
      </c>
      <c r="F20" s="981">
        <v>53</v>
      </c>
      <c r="G20" s="981">
        <v>325</v>
      </c>
    </row>
    <row r="21" spans="1:7" x14ac:dyDescent="0.25">
      <c r="A21" s="981" t="s">
        <v>258</v>
      </c>
      <c r="B21" s="981" t="s">
        <v>327</v>
      </c>
      <c r="C21" s="981">
        <v>41</v>
      </c>
      <c r="D21" s="981">
        <v>4</v>
      </c>
      <c r="E21" s="981">
        <v>23</v>
      </c>
      <c r="F21" s="981">
        <v>4</v>
      </c>
      <c r="G21" s="981">
        <v>3</v>
      </c>
    </row>
    <row r="22" spans="1:7" x14ac:dyDescent="0.25">
      <c r="A22" s="981" t="s">
        <v>258</v>
      </c>
      <c r="B22" s="981" t="s">
        <v>328</v>
      </c>
      <c r="C22" s="981">
        <v>1535</v>
      </c>
      <c r="D22" s="981">
        <v>62</v>
      </c>
      <c r="E22" s="981">
        <v>749</v>
      </c>
      <c r="F22" s="981">
        <v>96</v>
      </c>
      <c r="G22" s="981">
        <v>406</v>
      </c>
    </row>
  </sheetData>
  <pageMargins left="0.7" right="0.7" top="0.75" bottom="0.75" header="0.3" footer="0.3"/>
  <pageSetup paperSize="9" fitToHeight="50"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4:G15"/>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7" x14ac:dyDescent="0.25">
      <c r="A4" s="980" t="s">
        <v>962</v>
      </c>
      <c r="B4" s="980" t="s">
        <v>963</v>
      </c>
      <c r="C4" s="980" t="s">
        <v>2</v>
      </c>
      <c r="D4" s="980" t="s">
        <v>9</v>
      </c>
      <c r="E4" s="980" t="s">
        <v>3</v>
      </c>
      <c r="F4" s="980" t="s">
        <v>320</v>
      </c>
      <c r="G4" s="980" t="s">
        <v>321</v>
      </c>
    </row>
    <row r="5" spans="1:7" x14ac:dyDescent="0.25">
      <c r="A5" s="981" t="s">
        <v>952</v>
      </c>
      <c r="B5" s="981">
        <v>13</v>
      </c>
      <c r="C5" s="981"/>
      <c r="D5" s="981">
        <v>8</v>
      </c>
      <c r="E5" s="981">
        <v>2</v>
      </c>
      <c r="F5" s="981"/>
      <c r="G5" s="981">
        <v>3</v>
      </c>
    </row>
    <row r="6" spans="1:7" x14ac:dyDescent="0.25">
      <c r="A6" s="981" t="s">
        <v>953</v>
      </c>
      <c r="B6" s="981">
        <v>4</v>
      </c>
      <c r="C6" s="981"/>
      <c r="D6" s="981"/>
      <c r="E6" s="981">
        <v>4</v>
      </c>
      <c r="F6" s="981"/>
      <c r="G6" s="981"/>
    </row>
    <row r="7" spans="1:7" x14ac:dyDescent="0.25">
      <c r="A7" s="981" t="s">
        <v>203</v>
      </c>
      <c r="B7" s="981">
        <v>7</v>
      </c>
      <c r="C7" s="981"/>
      <c r="D7" s="981">
        <v>2</v>
      </c>
      <c r="E7" s="981">
        <v>1</v>
      </c>
      <c r="F7" s="981"/>
      <c r="G7" s="981">
        <v>4</v>
      </c>
    </row>
    <row r="8" spans="1:7" x14ac:dyDescent="0.25">
      <c r="A8" s="981" t="s">
        <v>954</v>
      </c>
      <c r="B8" s="981">
        <v>247</v>
      </c>
      <c r="C8" s="981">
        <v>9</v>
      </c>
      <c r="D8" s="981">
        <v>144</v>
      </c>
      <c r="E8" s="981">
        <v>49</v>
      </c>
      <c r="F8" s="981">
        <v>32</v>
      </c>
      <c r="G8" s="981">
        <v>13</v>
      </c>
    </row>
    <row r="9" spans="1:7" x14ac:dyDescent="0.25">
      <c r="A9" s="981" t="s">
        <v>955</v>
      </c>
      <c r="B9" s="981">
        <v>65</v>
      </c>
      <c r="C9" s="981">
        <v>1</v>
      </c>
      <c r="D9" s="981">
        <v>12</v>
      </c>
      <c r="E9" s="981">
        <v>3</v>
      </c>
      <c r="F9" s="981">
        <v>3</v>
      </c>
      <c r="G9" s="981">
        <v>46</v>
      </c>
    </row>
    <row r="10" spans="1:7" x14ac:dyDescent="0.25">
      <c r="A10" s="981" t="s">
        <v>956</v>
      </c>
      <c r="B10" s="981">
        <v>147</v>
      </c>
      <c r="C10" s="981">
        <v>4</v>
      </c>
      <c r="D10" s="981">
        <v>18</v>
      </c>
      <c r="E10" s="981">
        <v>12</v>
      </c>
      <c r="F10" s="981">
        <v>3</v>
      </c>
      <c r="G10" s="981">
        <v>110</v>
      </c>
    </row>
    <row r="11" spans="1:7" x14ac:dyDescent="0.25">
      <c r="A11" s="981" t="s">
        <v>957</v>
      </c>
      <c r="B11" s="981">
        <v>12</v>
      </c>
      <c r="C11" s="981"/>
      <c r="D11" s="981"/>
      <c r="E11" s="981">
        <v>12</v>
      </c>
      <c r="F11" s="981"/>
      <c r="G11" s="981"/>
    </row>
    <row r="12" spans="1:7" x14ac:dyDescent="0.25">
      <c r="A12" s="981" t="s">
        <v>958</v>
      </c>
      <c r="B12" s="981">
        <v>13</v>
      </c>
      <c r="C12" s="981"/>
      <c r="D12" s="981">
        <v>4</v>
      </c>
      <c r="E12" s="981">
        <v>1</v>
      </c>
      <c r="F12" s="981"/>
      <c r="G12" s="981">
        <v>8</v>
      </c>
    </row>
    <row r="13" spans="1:7" x14ac:dyDescent="0.25">
      <c r="A13" s="981" t="s">
        <v>959</v>
      </c>
      <c r="B13" s="981">
        <v>2</v>
      </c>
      <c r="C13" s="981"/>
      <c r="D13" s="981"/>
      <c r="E13" s="981"/>
      <c r="F13" s="981"/>
      <c r="G13" s="981">
        <v>2</v>
      </c>
    </row>
    <row r="14" spans="1:7" x14ac:dyDescent="0.25">
      <c r="A14" s="981" t="s">
        <v>960</v>
      </c>
      <c r="B14" s="981">
        <v>47</v>
      </c>
      <c r="C14" s="981"/>
      <c r="D14" s="981"/>
      <c r="E14" s="981">
        <v>47</v>
      </c>
      <c r="F14" s="981"/>
      <c r="G14" s="981"/>
    </row>
    <row r="15" spans="1:7" x14ac:dyDescent="0.25">
      <c r="A15" s="981" t="s">
        <v>961</v>
      </c>
      <c r="B15" s="981">
        <v>17</v>
      </c>
      <c r="C15" s="981"/>
      <c r="D15" s="981"/>
      <c r="E15" s="981">
        <v>17</v>
      </c>
      <c r="F15" s="981"/>
      <c r="G15" s="981"/>
    </row>
  </sheetData>
  <pageMargins left="0.7" right="0.7" top="0.75" bottom="0.75" header="0.3" footer="0.3"/>
  <pageSetup paperSize="9" fitToHeight="50"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4:J78"/>
  <sheetViews>
    <sheetView zoomScale="85" zoomScaleNormal="85" workbookViewId="0">
      <pane ySplit="4" topLeftCell="A56" activePane="bottomLeft" state="frozen"/>
      <selection activeCell="A5" sqref="A5"/>
      <selection pane="bottomLeft" activeCell="A5" sqref="A5"/>
    </sheetView>
  </sheetViews>
  <sheetFormatPr defaultRowHeight="15" x14ac:dyDescent="0.25"/>
  <sheetData>
    <row r="4" spans="1:7" x14ac:dyDescent="0.25">
      <c r="A4" s="980" t="s">
        <v>949</v>
      </c>
      <c r="B4" s="980" t="s">
        <v>964</v>
      </c>
      <c r="C4" s="980" t="s">
        <v>2</v>
      </c>
      <c r="D4" s="980" t="s">
        <v>9</v>
      </c>
      <c r="E4" s="980" t="s">
        <v>3</v>
      </c>
      <c r="F4" s="980" t="s">
        <v>320</v>
      </c>
      <c r="G4" s="980" t="s">
        <v>321</v>
      </c>
    </row>
    <row r="5" spans="1:7" x14ac:dyDescent="0.25">
      <c r="A5" s="981" t="s">
        <v>108</v>
      </c>
      <c r="B5" s="981">
        <v>105</v>
      </c>
      <c r="C5" s="981">
        <v>8</v>
      </c>
      <c r="D5" s="981">
        <v>56</v>
      </c>
      <c r="E5" s="981">
        <v>11</v>
      </c>
      <c r="F5" s="981">
        <v>4</v>
      </c>
      <c r="G5" s="981">
        <v>26</v>
      </c>
    </row>
    <row r="6" spans="1:7" x14ac:dyDescent="0.25">
      <c r="A6" s="981" t="s">
        <v>109</v>
      </c>
      <c r="B6" s="981">
        <v>137</v>
      </c>
      <c r="C6" s="981">
        <v>9</v>
      </c>
      <c r="D6" s="981">
        <v>50</v>
      </c>
      <c r="E6" s="981">
        <v>12</v>
      </c>
      <c r="F6" s="981">
        <v>5</v>
      </c>
      <c r="G6" s="981">
        <v>61</v>
      </c>
    </row>
    <row r="7" spans="1:7" x14ac:dyDescent="0.25">
      <c r="A7" s="981" t="s">
        <v>110</v>
      </c>
      <c r="B7" s="981">
        <v>129</v>
      </c>
      <c r="C7" s="981">
        <v>7</v>
      </c>
      <c r="D7" s="981">
        <v>50</v>
      </c>
      <c r="E7" s="981">
        <v>8</v>
      </c>
      <c r="F7" s="981">
        <v>3</v>
      </c>
      <c r="G7" s="981">
        <v>61</v>
      </c>
    </row>
    <row r="8" spans="1:7" x14ac:dyDescent="0.25">
      <c r="A8" s="981" t="s">
        <v>111</v>
      </c>
      <c r="B8" s="981">
        <v>70</v>
      </c>
      <c r="C8" s="981">
        <v>5</v>
      </c>
      <c r="D8" s="981">
        <v>30</v>
      </c>
      <c r="E8" s="981">
        <v>7</v>
      </c>
      <c r="F8" s="981">
        <v>3</v>
      </c>
      <c r="G8" s="981">
        <v>25</v>
      </c>
    </row>
    <row r="9" spans="1:7" x14ac:dyDescent="0.25">
      <c r="A9" s="981" t="s">
        <v>112</v>
      </c>
      <c r="B9" s="981">
        <v>55</v>
      </c>
      <c r="C9" s="981"/>
      <c r="D9" s="981">
        <v>28</v>
      </c>
      <c r="E9" s="981">
        <v>12</v>
      </c>
      <c r="F9" s="981">
        <v>2</v>
      </c>
      <c r="G9" s="981">
        <v>13</v>
      </c>
    </row>
    <row r="10" spans="1:7" x14ac:dyDescent="0.25">
      <c r="A10" s="981" t="s">
        <v>113</v>
      </c>
      <c r="B10" s="981">
        <v>39</v>
      </c>
      <c r="C10" s="981"/>
      <c r="D10" s="981">
        <v>16</v>
      </c>
      <c r="E10" s="981">
        <v>13</v>
      </c>
      <c r="F10" s="981">
        <v>3</v>
      </c>
      <c r="G10" s="981">
        <v>7</v>
      </c>
    </row>
    <row r="11" spans="1:7" x14ac:dyDescent="0.25">
      <c r="A11" s="981" t="s">
        <v>114</v>
      </c>
      <c r="B11" s="981">
        <v>24</v>
      </c>
      <c r="C11" s="981"/>
      <c r="D11" s="981">
        <v>11</v>
      </c>
      <c r="E11" s="981">
        <v>9</v>
      </c>
      <c r="F11" s="981">
        <v>3</v>
      </c>
      <c r="G11" s="981">
        <v>1</v>
      </c>
    </row>
    <row r="12" spans="1:7" x14ac:dyDescent="0.25">
      <c r="A12" s="981" t="s">
        <v>115</v>
      </c>
      <c r="B12" s="981">
        <v>13</v>
      </c>
      <c r="C12" s="981"/>
      <c r="D12" s="981">
        <v>2</v>
      </c>
      <c r="E12" s="981">
        <v>11</v>
      </c>
      <c r="F12" s="981"/>
      <c r="G12" s="981"/>
    </row>
    <row r="13" spans="1:7" x14ac:dyDescent="0.25">
      <c r="A13" s="981" t="s">
        <v>116</v>
      </c>
      <c r="B13" s="981">
        <v>6</v>
      </c>
      <c r="C13" s="981"/>
      <c r="D13" s="981"/>
      <c r="E13" s="981">
        <v>6</v>
      </c>
      <c r="F13" s="981"/>
      <c r="G13" s="981"/>
    </row>
    <row r="14" spans="1:7" x14ac:dyDescent="0.25">
      <c r="A14" s="981" t="s">
        <v>117</v>
      </c>
      <c r="B14" s="981">
        <v>2</v>
      </c>
      <c r="C14" s="981"/>
      <c r="D14" s="981"/>
      <c r="E14" s="981">
        <v>1</v>
      </c>
      <c r="F14" s="981">
        <v>1</v>
      </c>
      <c r="G14" s="981"/>
    </row>
    <row r="15" spans="1:7" x14ac:dyDescent="0.25">
      <c r="A15" s="981" t="s">
        <v>326</v>
      </c>
      <c r="B15" s="981">
        <v>6</v>
      </c>
      <c r="C15" s="981"/>
      <c r="D15" s="981">
        <v>4</v>
      </c>
      <c r="E15" s="981">
        <v>2</v>
      </c>
      <c r="F15" s="981"/>
      <c r="G15" s="981"/>
    </row>
    <row r="25" spans="1:7" x14ac:dyDescent="0.25">
      <c r="A25" s="983" t="s">
        <v>591</v>
      </c>
      <c r="B25" s="983" t="s">
        <v>964</v>
      </c>
      <c r="C25" s="983" t="s">
        <v>2</v>
      </c>
      <c r="D25" s="983" t="s">
        <v>9</v>
      </c>
      <c r="E25" s="983" t="s">
        <v>3</v>
      </c>
      <c r="F25" s="983" t="s">
        <v>320</v>
      </c>
      <c r="G25" s="983" t="s">
        <v>321</v>
      </c>
    </row>
    <row r="26" spans="1:7" x14ac:dyDescent="0.25">
      <c r="A26" s="981" t="s">
        <v>95</v>
      </c>
      <c r="B26" s="981">
        <v>122</v>
      </c>
      <c r="C26" s="981">
        <v>24</v>
      </c>
      <c r="D26" s="981">
        <v>38</v>
      </c>
      <c r="E26" s="981">
        <v>38</v>
      </c>
      <c r="F26" s="981">
        <v>8</v>
      </c>
      <c r="G26" s="981">
        <v>14</v>
      </c>
    </row>
    <row r="27" spans="1:7" x14ac:dyDescent="0.25">
      <c r="A27" s="981" t="s">
        <v>96</v>
      </c>
      <c r="B27" s="981">
        <v>464</v>
      </c>
      <c r="C27" s="981">
        <v>5</v>
      </c>
      <c r="D27" s="981">
        <v>209</v>
      </c>
      <c r="E27" s="981">
        <v>54</v>
      </c>
      <c r="F27" s="981">
        <v>16</v>
      </c>
      <c r="G27" s="981">
        <v>180</v>
      </c>
    </row>
    <row r="50" spans="1:5" x14ac:dyDescent="0.25">
      <c r="A50" s="983" t="s">
        <v>897</v>
      </c>
      <c r="B50" s="983" t="s">
        <v>249</v>
      </c>
      <c r="C50" s="983" t="s">
        <v>121</v>
      </c>
      <c r="D50" s="983" t="s">
        <v>392</v>
      </c>
      <c r="E50" s="983" t="s">
        <v>120</v>
      </c>
    </row>
    <row r="51" spans="1:5" x14ac:dyDescent="0.25">
      <c r="A51" s="981" t="s">
        <v>2</v>
      </c>
      <c r="B51" s="981" t="s">
        <v>258</v>
      </c>
      <c r="C51" s="981"/>
      <c r="D51" s="981">
        <v>62.1</v>
      </c>
      <c r="E51" s="981">
        <v>37.9</v>
      </c>
    </row>
    <row r="52" spans="1:5" x14ac:dyDescent="0.25">
      <c r="A52" s="981" t="s">
        <v>9</v>
      </c>
      <c r="B52" s="981" t="s">
        <v>258</v>
      </c>
      <c r="C52" s="981">
        <v>1.6</v>
      </c>
      <c r="D52" s="981">
        <v>44.5</v>
      </c>
      <c r="E52" s="981">
        <v>53.8</v>
      </c>
    </row>
    <row r="53" spans="1:5" x14ac:dyDescent="0.25">
      <c r="A53" s="981" t="s">
        <v>3</v>
      </c>
      <c r="B53" s="981" t="s">
        <v>258</v>
      </c>
      <c r="C53" s="981">
        <v>2.2000000000000002</v>
      </c>
      <c r="D53" s="981">
        <v>43.5</v>
      </c>
      <c r="E53" s="981">
        <v>54.3</v>
      </c>
    </row>
    <row r="54" spans="1:5" x14ac:dyDescent="0.25">
      <c r="A54" s="981" t="s">
        <v>26</v>
      </c>
      <c r="B54" s="981" t="s">
        <v>258</v>
      </c>
      <c r="C54" s="981">
        <v>1</v>
      </c>
      <c r="D54" s="981">
        <v>52.4</v>
      </c>
      <c r="E54" s="981">
        <v>46.6</v>
      </c>
    </row>
    <row r="55" spans="1:5" x14ac:dyDescent="0.25">
      <c r="A55" s="981" t="s">
        <v>329</v>
      </c>
      <c r="B55" s="981" t="s">
        <v>258</v>
      </c>
      <c r="C55" s="981">
        <v>1.1000000000000001</v>
      </c>
      <c r="D55" s="981">
        <v>50.4</v>
      </c>
      <c r="E55" s="981">
        <v>48.6</v>
      </c>
    </row>
    <row r="56" spans="1:5" x14ac:dyDescent="0.25">
      <c r="A56" s="981" t="s">
        <v>320</v>
      </c>
      <c r="B56" s="981" t="s">
        <v>258</v>
      </c>
      <c r="C56" s="981"/>
      <c r="D56" s="981">
        <v>100</v>
      </c>
      <c r="E56" s="981"/>
    </row>
    <row r="57" spans="1:5" x14ac:dyDescent="0.25">
      <c r="A57" s="981" t="s">
        <v>321</v>
      </c>
      <c r="B57" s="981" t="s">
        <v>258</v>
      </c>
      <c r="C57" s="981"/>
      <c r="D57" s="981">
        <v>59.3</v>
      </c>
      <c r="E57" s="981">
        <v>40.700000000000003</v>
      </c>
    </row>
    <row r="75" spans="1:10" x14ac:dyDescent="0.25">
      <c r="A75" s="983" t="s">
        <v>969</v>
      </c>
      <c r="B75" s="983" t="s">
        <v>249</v>
      </c>
      <c r="C75" s="983" t="s">
        <v>970</v>
      </c>
      <c r="D75" s="983" t="s">
        <v>26</v>
      </c>
      <c r="E75" s="983" t="s">
        <v>971</v>
      </c>
      <c r="F75" s="983" t="s">
        <v>2</v>
      </c>
      <c r="G75" s="983" t="s">
        <v>9</v>
      </c>
      <c r="H75" s="983" t="s">
        <v>3</v>
      </c>
      <c r="I75" s="983" t="s">
        <v>320</v>
      </c>
      <c r="J75" s="983" t="s">
        <v>321</v>
      </c>
    </row>
    <row r="76" spans="1:10" x14ac:dyDescent="0.25">
      <c r="A76" s="981" t="s">
        <v>965</v>
      </c>
      <c r="B76" s="981" t="s">
        <v>258</v>
      </c>
      <c r="C76" s="981" t="s">
        <v>966</v>
      </c>
      <c r="D76" s="981">
        <v>2</v>
      </c>
      <c r="E76" s="981">
        <v>2.1</v>
      </c>
      <c r="F76" s="981"/>
      <c r="G76" s="981">
        <v>1.2</v>
      </c>
      <c r="H76" s="981">
        <v>2.2000000000000002</v>
      </c>
      <c r="I76" s="981"/>
      <c r="J76" s="981">
        <v>3.6</v>
      </c>
    </row>
    <row r="77" spans="1:10" x14ac:dyDescent="0.25">
      <c r="A77" s="981" t="s">
        <v>965</v>
      </c>
      <c r="B77" s="981" t="s">
        <v>258</v>
      </c>
      <c r="C77" s="981" t="s">
        <v>967</v>
      </c>
      <c r="D77" s="981">
        <v>44.9</v>
      </c>
      <c r="E77" s="981">
        <v>46.8</v>
      </c>
      <c r="F77" s="981">
        <v>34.5</v>
      </c>
      <c r="G77" s="981">
        <v>54.3</v>
      </c>
      <c r="H77" s="981">
        <v>48.9</v>
      </c>
      <c r="I77" s="981"/>
      <c r="J77" s="981">
        <v>38.1</v>
      </c>
    </row>
    <row r="78" spans="1:10" x14ac:dyDescent="0.25">
      <c r="A78" s="981" t="s">
        <v>965</v>
      </c>
      <c r="B78" s="981" t="s">
        <v>258</v>
      </c>
      <c r="C78" s="981" t="s">
        <v>968</v>
      </c>
      <c r="D78" s="981">
        <v>53.1</v>
      </c>
      <c r="E78" s="981">
        <v>51.1</v>
      </c>
      <c r="F78" s="981">
        <v>65.5</v>
      </c>
      <c r="G78" s="981">
        <v>44.5</v>
      </c>
      <c r="H78" s="981">
        <v>48.9</v>
      </c>
      <c r="I78" s="981">
        <v>100</v>
      </c>
      <c r="J78" s="981">
        <v>58.2</v>
      </c>
    </row>
  </sheetData>
  <pageMargins left="0.7" right="0.7" top="0.75" bottom="0.75" header="0.3" footer="0.3"/>
  <pageSetup paperSize="9" fitToHeight="50"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E60"/>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1" spans="1:5" ht="15.75" x14ac:dyDescent="0.25">
      <c r="A1" s="982" t="s">
        <v>972</v>
      </c>
    </row>
    <row r="2" spans="1:5" x14ac:dyDescent="0.25">
      <c r="A2" s="1047">
        <v>43700</v>
      </c>
      <c r="B2" s="1048"/>
    </row>
    <row r="4" spans="1:5" x14ac:dyDescent="0.25">
      <c r="A4" s="980" t="s">
        <v>249</v>
      </c>
      <c r="B4" s="980" t="s">
        <v>897</v>
      </c>
      <c r="C4" s="980" t="s">
        <v>120</v>
      </c>
      <c r="D4" s="980" t="s">
        <v>121</v>
      </c>
      <c r="E4" s="980" t="s">
        <v>392</v>
      </c>
    </row>
    <row r="5" spans="1:5" x14ac:dyDescent="0.25">
      <c r="A5" s="981" t="s">
        <v>330</v>
      </c>
      <c r="B5" s="981" t="s">
        <v>2</v>
      </c>
      <c r="C5" s="981">
        <v>84.6</v>
      </c>
      <c r="D5" s="981">
        <v>0.4</v>
      </c>
      <c r="E5" s="981">
        <v>15</v>
      </c>
    </row>
    <row r="6" spans="1:5" x14ac:dyDescent="0.25">
      <c r="A6" s="981" t="s">
        <v>330</v>
      </c>
      <c r="B6" s="981" t="s">
        <v>9</v>
      </c>
      <c r="C6" s="981">
        <v>81.8</v>
      </c>
      <c r="D6" s="981">
        <v>0.2</v>
      </c>
      <c r="E6" s="981">
        <v>18</v>
      </c>
    </row>
    <row r="7" spans="1:5" x14ac:dyDescent="0.25">
      <c r="A7" s="981" t="s">
        <v>330</v>
      </c>
      <c r="B7" s="981" t="s">
        <v>3</v>
      </c>
      <c r="C7" s="981">
        <v>65.5</v>
      </c>
      <c r="D7" s="981">
        <v>1</v>
      </c>
      <c r="E7" s="981">
        <v>33.5</v>
      </c>
    </row>
    <row r="8" spans="1:5" x14ac:dyDescent="0.25">
      <c r="A8" s="981" t="s">
        <v>330</v>
      </c>
      <c r="B8" s="981" t="s">
        <v>26</v>
      </c>
      <c r="C8" s="981">
        <v>74.400000000000006</v>
      </c>
      <c r="D8" s="981">
        <v>0.6</v>
      </c>
      <c r="E8" s="981">
        <v>25</v>
      </c>
    </row>
    <row r="9" spans="1:5" x14ac:dyDescent="0.25">
      <c r="A9" s="981" t="s">
        <v>330</v>
      </c>
      <c r="B9" s="981" t="s">
        <v>329</v>
      </c>
      <c r="C9" s="981">
        <v>75</v>
      </c>
      <c r="D9" s="981">
        <v>0.6</v>
      </c>
      <c r="E9" s="981">
        <v>24.4</v>
      </c>
    </row>
    <row r="10" spans="1:5" x14ac:dyDescent="0.25">
      <c r="A10" s="981" t="s">
        <v>330</v>
      </c>
      <c r="B10" s="981" t="s">
        <v>320</v>
      </c>
      <c r="C10" s="981">
        <v>62.7</v>
      </c>
      <c r="D10" s="981">
        <v>0.2</v>
      </c>
      <c r="E10" s="981">
        <v>37</v>
      </c>
    </row>
    <row r="11" spans="1:5" x14ac:dyDescent="0.25">
      <c r="A11" s="981" t="s">
        <v>330</v>
      </c>
      <c r="B11" s="981" t="s">
        <v>321</v>
      </c>
      <c r="C11" s="981">
        <v>72.2</v>
      </c>
      <c r="D11" s="981">
        <v>0.8</v>
      </c>
      <c r="E11" s="981">
        <v>27.1</v>
      </c>
    </row>
    <row r="12" spans="1:5" x14ac:dyDescent="0.25">
      <c r="A12" s="981" t="s">
        <v>208</v>
      </c>
      <c r="B12" s="981" t="s">
        <v>2</v>
      </c>
      <c r="C12" s="981">
        <v>89.7</v>
      </c>
      <c r="D12" s="981">
        <v>0.4</v>
      </c>
      <c r="E12" s="981">
        <v>9.8000000000000007</v>
      </c>
    </row>
    <row r="13" spans="1:5" x14ac:dyDescent="0.25">
      <c r="A13" s="981" t="s">
        <v>208</v>
      </c>
      <c r="B13" s="981" t="s">
        <v>9</v>
      </c>
      <c r="C13" s="981">
        <v>80.900000000000006</v>
      </c>
      <c r="D13" s="981">
        <v>0.2</v>
      </c>
      <c r="E13" s="981">
        <v>18.899999999999999</v>
      </c>
    </row>
    <row r="14" spans="1:5" x14ac:dyDescent="0.25">
      <c r="A14" s="981" t="s">
        <v>208</v>
      </c>
      <c r="B14" s="981" t="s">
        <v>3</v>
      </c>
      <c r="C14" s="981">
        <v>78.400000000000006</v>
      </c>
      <c r="D14" s="981">
        <v>1</v>
      </c>
      <c r="E14" s="981">
        <v>20.6</v>
      </c>
    </row>
    <row r="15" spans="1:5" x14ac:dyDescent="0.25">
      <c r="A15" s="981" t="s">
        <v>208</v>
      </c>
      <c r="B15" s="981" t="s">
        <v>26</v>
      </c>
      <c r="C15" s="981">
        <v>80.099999999999994</v>
      </c>
      <c r="D15" s="981">
        <v>0.6</v>
      </c>
      <c r="E15" s="981">
        <v>19.3</v>
      </c>
    </row>
    <row r="16" spans="1:5" x14ac:dyDescent="0.25">
      <c r="A16" s="981" t="s">
        <v>208</v>
      </c>
      <c r="B16" s="981" t="s">
        <v>329</v>
      </c>
      <c r="C16" s="981">
        <v>81</v>
      </c>
      <c r="D16" s="981">
        <v>0.6</v>
      </c>
      <c r="E16" s="981">
        <v>18.399999999999999</v>
      </c>
    </row>
    <row r="17" spans="1:5" x14ac:dyDescent="0.25">
      <c r="A17" s="981" t="s">
        <v>208</v>
      </c>
      <c r="B17" s="981" t="s">
        <v>320</v>
      </c>
      <c r="C17" s="981">
        <v>61.4</v>
      </c>
      <c r="D17" s="981">
        <v>0.5</v>
      </c>
      <c r="E17" s="981">
        <v>38.1</v>
      </c>
    </row>
    <row r="18" spans="1:5" x14ac:dyDescent="0.25">
      <c r="A18" s="981" t="s">
        <v>208</v>
      </c>
      <c r="B18" s="981" t="s">
        <v>321</v>
      </c>
      <c r="C18" s="981">
        <v>81.2</v>
      </c>
      <c r="D18" s="981">
        <v>0.7</v>
      </c>
      <c r="E18" s="981">
        <v>18</v>
      </c>
    </row>
    <row r="19" spans="1:5" x14ac:dyDescent="0.25">
      <c r="A19" s="981" t="s">
        <v>207</v>
      </c>
      <c r="B19" s="981" t="s">
        <v>2</v>
      </c>
      <c r="C19" s="981">
        <v>49.3</v>
      </c>
      <c r="D19" s="981"/>
      <c r="E19" s="981">
        <v>50.7</v>
      </c>
    </row>
    <row r="20" spans="1:5" x14ac:dyDescent="0.25">
      <c r="A20" s="981" t="s">
        <v>207</v>
      </c>
      <c r="B20" s="981" t="s">
        <v>9</v>
      </c>
      <c r="C20" s="981">
        <v>69.599999999999994</v>
      </c>
      <c r="D20" s="981">
        <v>1.1000000000000001</v>
      </c>
      <c r="E20" s="981">
        <v>29.3</v>
      </c>
    </row>
    <row r="21" spans="1:5" x14ac:dyDescent="0.25">
      <c r="A21" s="981" t="s">
        <v>207</v>
      </c>
      <c r="B21" s="981" t="s">
        <v>3</v>
      </c>
      <c r="C21" s="981">
        <v>55.2</v>
      </c>
      <c r="D21" s="981">
        <v>1</v>
      </c>
      <c r="E21" s="981">
        <v>43.8</v>
      </c>
    </row>
    <row r="22" spans="1:5" x14ac:dyDescent="0.25">
      <c r="A22" s="981" t="s">
        <v>207</v>
      </c>
      <c r="B22" s="981" t="s">
        <v>26</v>
      </c>
      <c r="C22" s="981">
        <v>61.1</v>
      </c>
      <c r="D22" s="981">
        <v>0.8</v>
      </c>
      <c r="E22" s="981">
        <v>38.1</v>
      </c>
    </row>
    <row r="23" spans="1:5" x14ac:dyDescent="0.25">
      <c r="A23" s="981" t="s">
        <v>207</v>
      </c>
      <c r="B23" s="981" t="s">
        <v>329</v>
      </c>
      <c r="C23" s="981">
        <v>62.5</v>
      </c>
      <c r="D23" s="981">
        <v>0.8</v>
      </c>
      <c r="E23" s="981">
        <v>36.700000000000003</v>
      </c>
    </row>
    <row r="24" spans="1:5" x14ac:dyDescent="0.25">
      <c r="A24" s="981" t="s">
        <v>207</v>
      </c>
      <c r="B24" s="981" t="s">
        <v>320</v>
      </c>
      <c r="C24" s="981">
        <v>30.1</v>
      </c>
      <c r="D24" s="981">
        <v>0.6</v>
      </c>
      <c r="E24" s="981">
        <v>69.400000000000006</v>
      </c>
    </row>
    <row r="25" spans="1:5" x14ac:dyDescent="0.25">
      <c r="A25" s="981" t="s">
        <v>207</v>
      </c>
      <c r="B25" s="981" t="s">
        <v>321</v>
      </c>
      <c r="C25" s="981">
        <v>59.8</v>
      </c>
      <c r="D25" s="981">
        <v>0.6</v>
      </c>
      <c r="E25" s="981">
        <v>39.6</v>
      </c>
    </row>
    <row r="26" spans="1:5" x14ac:dyDescent="0.25">
      <c r="A26" s="981" t="s">
        <v>206</v>
      </c>
      <c r="B26" s="981" t="s">
        <v>2</v>
      </c>
      <c r="C26" s="981">
        <v>63</v>
      </c>
      <c r="D26" s="981">
        <v>0.4</v>
      </c>
      <c r="E26" s="981">
        <v>36.5</v>
      </c>
    </row>
    <row r="27" spans="1:5" x14ac:dyDescent="0.25">
      <c r="A27" s="981" t="s">
        <v>206</v>
      </c>
      <c r="B27" s="981" t="s">
        <v>9</v>
      </c>
      <c r="C27" s="981">
        <v>67</v>
      </c>
      <c r="D27" s="981">
        <v>0.1</v>
      </c>
      <c r="E27" s="981">
        <v>32.799999999999997</v>
      </c>
    </row>
    <row r="28" spans="1:5" x14ac:dyDescent="0.25">
      <c r="A28" s="981" t="s">
        <v>206</v>
      </c>
      <c r="B28" s="981" t="s">
        <v>3</v>
      </c>
      <c r="C28" s="981">
        <v>53.7</v>
      </c>
      <c r="D28" s="981">
        <v>1.2</v>
      </c>
      <c r="E28" s="981">
        <v>45.1</v>
      </c>
    </row>
    <row r="29" spans="1:5" x14ac:dyDescent="0.25">
      <c r="A29" s="981" t="s">
        <v>206</v>
      </c>
      <c r="B29" s="981" t="s">
        <v>26</v>
      </c>
      <c r="C29" s="981">
        <v>60.2</v>
      </c>
      <c r="D29" s="981">
        <v>0.5</v>
      </c>
      <c r="E29" s="981">
        <v>39.299999999999997</v>
      </c>
    </row>
    <row r="30" spans="1:5" x14ac:dyDescent="0.25">
      <c r="A30" s="981" t="s">
        <v>206</v>
      </c>
      <c r="B30" s="981" t="s">
        <v>329</v>
      </c>
      <c r="C30" s="981">
        <v>61.8</v>
      </c>
      <c r="D30" s="981">
        <v>0.5</v>
      </c>
      <c r="E30" s="981">
        <v>37.700000000000003</v>
      </c>
    </row>
    <row r="31" spans="1:5" x14ac:dyDescent="0.25">
      <c r="A31" s="981" t="s">
        <v>206</v>
      </c>
      <c r="B31" s="981" t="s">
        <v>320</v>
      </c>
      <c r="C31" s="981">
        <v>26.7</v>
      </c>
      <c r="D31" s="981">
        <v>0.5</v>
      </c>
      <c r="E31" s="981">
        <v>72.8</v>
      </c>
    </row>
    <row r="32" spans="1:5" x14ac:dyDescent="0.25">
      <c r="A32" s="981" t="s">
        <v>206</v>
      </c>
      <c r="B32" s="981" t="s">
        <v>321</v>
      </c>
      <c r="C32" s="981">
        <v>59.5</v>
      </c>
      <c r="D32" s="981">
        <v>0.6</v>
      </c>
      <c r="E32" s="981">
        <v>39.9</v>
      </c>
    </row>
    <row r="33" spans="1:5" x14ac:dyDescent="0.25">
      <c r="A33" s="981" t="s">
        <v>205</v>
      </c>
      <c r="B33" s="981" t="s">
        <v>2</v>
      </c>
      <c r="C33" s="981">
        <v>64</v>
      </c>
      <c r="D33" s="981">
        <v>0.5</v>
      </c>
      <c r="E33" s="981">
        <v>35.5</v>
      </c>
    </row>
    <row r="34" spans="1:5" x14ac:dyDescent="0.25">
      <c r="A34" s="981" t="s">
        <v>205</v>
      </c>
      <c r="B34" s="981" t="s">
        <v>9</v>
      </c>
      <c r="C34" s="981">
        <v>60</v>
      </c>
      <c r="D34" s="981">
        <v>0.6</v>
      </c>
      <c r="E34" s="981">
        <v>39.4</v>
      </c>
    </row>
    <row r="35" spans="1:5" x14ac:dyDescent="0.25">
      <c r="A35" s="981" t="s">
        <v>205</v>
      </c>
      <c r="B35" s="981" t="s">
        <v>3</v>
      </c>
      <c r="C35" s="981">
        <v>53.4</v>
      </c>
      <c r="D35" s="981">
        <v>0.8</v>
      </c>
      <c r="E35" s="981">
        <v>45.8</v>
      </c>
    </row>
    <row r="36" spans="1:5" x14ac:dyDescent="0.25">
      <c r="A36" s="981" t="s">
        <v>205</v>
      </c>
      <c r="B36" s="981" t="s">
        <v>26</v>
      </c>
      <c r="C36" s="981">
        <v>55.3</v>
      </c>
      <c r="D36" s="981">
        <v>0.6</v>
      </c>
      <c r="E36" s="981">
        <v>44.1</v>
      </c>
    </row>
    <row r="37" spans="1:5" x14ac:dyDescent="0.25">
      <c r="A37" s="981" t="s">
        <v>205</v>
      </c>
      <c r="B37" s="981" t="s">
        <v>329</v>
      </c>
      <c r="C37" s="981">
        <v>56.3</v>
      </c>
      <c r="D37" s="981">
        <v>0.6</v>
      </c>
      <c r="E37" s="981">
        <v>43.1</v>
      </c>
    </row>
    <row r="38" spans="1:5" x14ac:dyDescent="0.25">
      <c r="A38" s="981" t="s">
        <v>205</v>
      </c>
      <c r="B38" s="981" t="s">
        <v>320</v>
      </c>
      <c r="C38" s="981">
        <v>32.5</v>
      </c>
      <c r="D38" s="981">
        <v>0.9</v>
      </c>
      <c r="E38" s="981">
        <v>66.7</v>
      </c>
    </row>
    <row r="39" spans="1:5" x14ac:dyDescent="0.25">
      <c r="A39" s="981" t="s">
        <v>205</v>
      </c>
      <c r="B39" s="981" t="s">
        <v>321</v>
      </c>
      <c r="C39" s="981">
        <v>53.7</v>
      </c>
      <c r="D39" s="981">
        <v>0.5</v>
      </c>
      <c r="E39" s="981">
        <v>45.7</v>
      </c>
    </row>
    <row r="40" spans="1:5" x14ac:dyDescent="0.25">
      <c r="A40" s="981" t="s">
        <v>278</v>
      </c>
      <c r="B40" s="981" t="s">
        <v>2</v>
      </c>
      <c r="C40" s="981">
        <v>55.8</v>
      </c>
      <c r="D40" s="981">
        <v>0.6</v>
      </c>
      <c r="E40" s="981">
        <v>43.6</v>
      </c>
    </row>
    <row r="41" spans="1:5" x14ac:dyDescent="0.25">
      <c r="A41" s="981" t="s">
        <v>278</v>
      </c>
      <c r="B41" s="981" t="s">
        <v>9</v>
      </c>
      <c r="C41" s="981">
        <v>58</v>
      </c>
      <c r="D41" s="981">
        <v>0.6</v>
      </c>
      <c r="E41" s="981">
        <v>41.4</v>
      </c>
    </row>
    <row r="42" spans="1:5" x14ac:dyDescent="0.25">
      <c r="A42" s="981" t="s">
        <v>278</v>
      </c>
      <c r="B42" s="981" t="s">
        <v>3</v>
      </c>
      <c r="C42" s="981">
        <v>53.9</v>
      </c>
      <c r="D42" s="981">
        <v>0.6</v>
      </c>
      <c r="E42" s="981">
        <v>45.5</v>
      </c>
    </row>
    <row r="43" spans="1:5" x14ac:dyDescent="0.25">
      <c r="A43" s="981" t="s">
        <v>278</v>
      </c>
      <c r="B43" s="981" t="s">
        <v>26</v>
      </c>
      <c r="C43" s="981">
        <v>53.7</v>
      </c>
      <c r="D43" s="981">
        <v>0.6</v>
      </c>
      <c r="E43" s="981">
        <v>45.7</v>
      </c>
    </row>
    <row r="44" spans="1:5" x14ac:dyDescent="0.25">
      <c r="A44" s="981" t="s">
        <v>278</v>
      </c>
      <c r="B44" s="981" t="s">
        <v>329</v>
      </c>
      <c r="C44" s="981">
        <v>54.2</v>
      </c>
      <c r="D44" s="981">
        <v>0.6</v>
      </c>
      <c r="E44" s="981">
        <v>45.2</v>
      </c>
    </row>
    <row r="45" spans="1:5" x14ac:dyDescent="0.25">
      <c r="A45" s="981" t="s">
        <v>278</v>
      </c>
      <c r="B45" s="981" t="s">
        <v>320</v>
      </c>
      <c r="C45" s="981">
        <v>42.7</v>
      </c>
      <c r="D45" s="981">
        <v>0.3</v>
      </c>
      <c r="E45" s="981">
        <v>57</v>
      </c>
    </row>
    <row r="46" spans="1:5" x14ac:dyDescent="0.25">
      <c r="A46" s="981" t="s">
        <v>278</v>
      </c>
      <c r="B46" s="981" t="s">
        <v>321</v>
      </c>
      <c r="C46" s="981">
        <v>51.2</v>
      </c>
      <c r="D46" s="981">
        <v>0.5</v>
      </c>
      <c r="E46" s="981">
        <v>48.3</v>
      </c>
    </row>
    <row r="47" spans="1:5" x14ac:dyDescent="0.25">
      <c r="A47" s="981" t="s">
        <v>259</v>
      </c>
      <c r="B47" s="981" t="s">
        <v>2</v>
      </c>
      <c r="C47" s="981">
        <v>52.9</v>
      </c>
      <c r="D47" s="981">
        <v>0.5</v>
      </c>
      <c r="E47" s="981">
        <v>46.6</v>
      </c>
    </row>
    <row r="48" spans="1:5" x14ac:dyDescent="0.25">
      <c r="A48" s="981" t="s">
        <v>259</v>
      </c>
      <c r="B48" s="981" t="s">
        <v>9</v>
      </c>
      <c r="C48" s="981">
        <v>65.900000000000006</v>
      </c>
      <c r="D48" s="981">
        <v>1.2</v>
      </c>
      <c r="E48" s="981">
        <v>32.9</v>
      </c>
    </row>
    <row r="49" spans="1:5" x14ac:dyDescent="0.25">
      <c r="A49" s="981" t="s">
        <v>259</v>
      </c>
      <c r="B49" s="981" t="s">
        <v>3</v>
      </c>
      <c r="C49" s="981">
        <v>61.2</v>
      </c>
      <c r="D49" s="981">
        <v>1.4</v>
      </c>
      <c r="E49" s="981">
        <v>37.4</v>
      </c>
    </row>
    <row r="50" spans="1:5" x14ac:dyDescent="0.25">
      <c r="A50" s="981" t="s">
        <v>259</v>
      </c>
      <c r="B50" s="981" t="s">
        <v>26</v>
      </c>
      <c r="C50" s="981">
        <v>59.2</v>
      </c>
      <c r="D50" s="981">
        <v>1.2</v>
      </c>
      <c r="E50" s="981">
        <v>39.6</v>
      </c>
    </row>
    <row r="51" spans="1:5" x14ac:dyDescent="0.25">
      <c r="A51" s="981" t="s">
        <v>259</v>
      </c>
      <c r="B51" s="981" t="s">
        <v>329</v>
      </c>
      <c r="C51" s="981">
        <v>60.2</v>
      </c>
      <c r="D51" s="981">
        <v>1.2</v>
      </c>
      <c r="E51" s="981">
        <v>38.6</v>
      </c>
    </row>
    <row r="52" spans="1:5" x14ac:dyDescent="0.25">
      <c r="A52" s="981" t="s">
        <v>259</v>
      </c>
      <c r="B52" s="981" t="s">
        <v>320</v>
      </c>
      <c r="C52" s="981">
        <v>37.299999999999997</v>
      </c>
      <c r="D52" s="981">
        <v>0.6</v>
      </c>
      <c r="E52" s="981">
        <v>62</v>
      </c>
    </row>
    <row r="53" spans="1:5" x14ac:dyDescent="0.25">
      <c r="A53" s="981" t="s">
        <v>259</v>
      </c>
      <c r="B53" s="981" t="s">
        <v>321</v>
      </c>
      <c r="C53" s="981">
        <v>55.7</v>
      </c>
      <c r="D53" s="981">
        <v>1.2</v>
      </c>
      <c r="E53" s="981">
        <v>43.1</v>
      </c>
    </row>
    <row r="54" spans="1:5" x14ac:dyDescent="0.25">
      <c r="A54" s="981" t="s">
        <v>258</v>
      </c>
      <c r="B54" s="981" t="s">
        <v>2</v>
      </c>
      <c r="C54" s="981">
        <v>53.6</v>
      </c>
      <c r="D54" s="981">
        <v>1</v>
      </c>
      <c r="E54" s="981">
        <v>45.4</v>
      </c>
    </row>
    <row r="55" spans="1:5" x14ac:dyDescent="0.25">
      <c r="A55" s="981" t="s">
        <v>258</v>
      </c>
      <c r="B55" s="981" t="s">
        <v>9</v>
      </c>
      <c r="C55" s="981">
        <v>67.599999999999994</v>
      </c>
      <c r="D55" s="981">
        <v>1.1000000000000001</v>
      </c>
      <c r="E55" s="981">
        <v>31.3</v>
      </c>
    </row>
    <row r="56" spans="1:5" x14ac:dyDescent="0.25">
      <c r="A56" s="981" t="s">
        <v>258</v>
      </c>
      <c r="B56" s="981" t="s">
        <v>3</v>
      </c>
      <c r="C56" s="981">
        <v>68.099999999999994</v>
      </c>
      <c r="D56" s="981">
        <v>1.8</v>
      </c>
      <c r="E56" s="981">
        <v>30.2</v>
      </c>
    </row>
    <row r="57" spans="1:5" x14ac:dyDescent="0.25">
      <c r="A57" s="981" t="s">
        <v>258</v>
      </c>
      <c r="B57" s="981" t="s">
        <v>26</v>
      </c>
      <c r="C57" s="981">
        <v>62.7</v>
      </c>
      <c r="D57" s="981">
        <v>1.2</v>
      </c>
      <c r="E57" s="981">
        <v>36.1</v>
      </c>
    </row>
    <row r="58" spans="1:5" x14ac:dyDescent="0.25">
      <c r="A58" s="981" t="s">
        <v>258</v>
      </c>
      <c r="B58" s="981" t="s">
        <v>329</v>
      </c>
      <c r="C58" s="981">
        <v>63.8</v>
      </c>
      <c r="D58" s="981">
        <v>1.2</v>
      </c>
      <c r="E58" s="981">
        <v>35</v>
      </c>
    </row>
    <row r="59" spans="1:5" x14ac:dyDescent="0.25">
      <c r="A59" s="981" t="s">
        <v>258</v>
      </c>
      <c r="B59" s="981" t="s">
        <v>320</v>
      </c>
      <c r="C59" s="981">
        <v>36.299999999999997</v>
      </c>
      <c r="D59" s="981">
        <v>0.6</v>
      </c>
      <c r="E59" s="981">
        <v>63.1</v>
      </c>
    </row>
    <row r="60" spans="1:5" x14ac:dyDescent="0.25">
      <c r="A60" s="981" t="s">
        <v>258</v>
      </c>
      <c r="B60" s="981" t="s">
        <v>321</v>
      </c>
      <c r="C60" s="981">
        <v>60.4</v>
      </c>
      <c r="D60" s="981">
        <v>1.2</v>
      </c>
      <c r="E60" s="981">
        <v>38.4</v>
      </c>
    </row>
  </sheetData>
  <mergeCells count="1">
    <mergeCell ref="A2:B2"/>
  </mergeCells>
  <pageMargins left="0.7" right="0.7" top="0.75" bottom="0.75" header="0.3" footer="0.3"/>
  <pageSetup paperSize="9" fitToHeight="50"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4:G22"/>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7" x14ac:dyDescent="0.25">
      <c r="A4" s="980" t="s">
        <v>274</v>
      </c>
      <c r="B4" s="980" t="s">
        <v>951</v>
      </c>
      <c r="C4" s="980" t="s">
        <v>26</v>
      </c>
      <c r="D4" s="980" t="s">
        <v>2</v>
      </c>
      <c r="E4" s="980" t="s">
        <v>9</v>
      </c>
      <c r="F4" s="980" t="s">
        <v>320</v>
      </c>
      <c r="G4" s="980" t="s">
        <v>321</v>
      </c>
    </row>
    <row r="5" spans="1:7" x14ac:dyDescent="0.25">
      <c r="A5" s="981" t="s">
        <v>259</v>
      </c>
      <c r="B5" s="981" t="s">
        <v>188</v>
      </c>
      <c r="C5" s="981">
        <v>1325</v>
      </c>
      <c r="D5" s="981">
        <v>26</v>
      </c>
      <c r="E5" s="981">
        <v>434</v>
      </c>
      <c r="F5" s="981">
        <v>51</v>
      </c>
      <c r="G5" s="981">
        <v>814</v>
      </c>
    </row>
    <row r="6" spans="1:7" x14ac:dyDescent="0.25">
      <c r="A6" s="981" t="s">
        <v>259</v>
      </c>
      <c r="B6" s="981" t="s">
        <v>189</v>
      </c>
      <c r="C6" s="981">
        <v>1294</v>
      </c>
      <c r="D6" s="981">
        <v>22</v>
      </c>
      <c r="E6" s="981">
        <v>429</v>
      </c>
      <c r="F6" s="981">
        <v>54</v>
      </c>
      <c r="G6" s="981">
        <v>789</v>
      </c>
    </row>
    <row r="7" spans="1:7" x14ac:dyDescent="0.25">
      <c r="A7" s="981" t="s">
        <v>259</v>
      </c>
      <c r="B7" s="981" t="s">
        <v>108</v>
      </c>
      <c r="C7" s="981">
        <v>891</v>
      </c>
      <c r="D7" s="981">
        <v>15</v>
      </c>
      <c r="E7" s="981">
        <v>272</v>
      </c>
      <c r="F7" s="981">
        <v>23</v>
      </c>
      <c r="G7" s="981">
        <v>581</v>
      </c>
    </row>
    <row r="8" spans="1:7" x14ac:dyDescent="0.25">
      <c r="A8" s="981" t="s">
        <v>259</v>
      </c>
      <c r="B8" s="981" t="s">
        <v>109</v>
      </c>
      <c r="C8" s="981">
        <v>893</v>
      </c>
      <c r="D8" s="981">
        <v>21</v>
      </c>
      <c r="E8" s="981">
        <v>262</v>
      </c>
      <c r="F8" s="981">
        <v>25</v>
      </c>
      <c r="G8" s="981">
        <v>585</v>
      </c>
    </row>
    <row r="9" spans="1:7" x14ac:dyDescent="0.25">
      <c r="A9" s="981" t="s">
        <v>259</v>
      </c>
      <c r="B9" s="981" t="s">
        <v>110</v>
      </c>
      <c r="C9" s="981">
        <v>271</v>
      </c>
      <c r="D9" s="981">
        <v>16</v>
      </c>
      <c r="E9" s="981">
        <v>134</v>
      </c>
      <c r="F9" s="981">
        <v>12</v>
      </c>
      <c r="G9" s="981">
        <v>109</v>
      </c>
    </row>
    <row r="10" spans="1:7" x14ac:dyDescent="0.25">
      <c r="A10" s="981" t="s">
        <v>259</v>
      </c>
      <c r="B10" s="981" t="s">
        <v>111</v>
      </c>
      <c r="C10" s="981">
        <v>69</v>
      </c>
      <c r="D10" s="981">
        <v>11</v>
      </c>
      <c r="E10" s="981">
        <v>47</v>
      </c>
      <c r="F10" s="981">
        <v>4</v>
      </c>
      <c r="G10" s="981">
        <v>7</v>
      </c>
    </row>
    <row r="11" spans="1:7" x14ac:dyDescent="0.25">
      <c r="A11" s="981" t="s">
        <v>259</v>
      </c>
      <c r="B11" s="981" t="s">
        <v>187</v>
      </c>
      <c r="C11" s="981">
        <v>1100</v>
      </c>
      <c r="D11" s="981">
        <v>17</v>
      </c>
      <c r="E11" s="981">
        <v>572</v>
      </c>
      <c r="F11" s="981">
        <v>64</v>
      </c>
      <c r="G11" s="981">
        <v>447</v>
      </c>
    </row>
    <row r="12" spans="1:7" x14ac:dyDescent="0.25">
      <c r="A12" s="981" t="s">
        <v>259</v>
      </c>
      <c r="B12" s="981" t="s">
        <v>327</v>
      </c>
      <c r="C12" s="981">
        <v>30</v>
      </c>
      <c r="D12" s="981">
        <v>5</v>
      </c>
      <c r="E12" s="981">
        <v>22</v>
      </c>
      <c r="F12" s="981">
        <v>2</v>
      </c>
      <c r="G12" s="981">
        <v>1</v>
      </c>
    </row>
    <row r="13" spans="1:7" x14ac:dyDescent="0.25">
      <c r="A13" s="981" t="s">
        <v>259</v>
      </c>
      <c r="B13" s="981" t="s">
        <v>328</v>
      </c>
      <c r="C13" s="981">
        <v>1057</v>
      </c>
      <c r="D13" s="981">
        <v>56</v>
      </c>
      <c r="E13" s="981">
        <v>691</v>
      </c>
      <c r="F13" s="981">
        <v>97</v>
      </c>
      <c r="G13" s="981">
        <v>213</v>
      </c>
    </row>
    <row r="14" spans="1:7" x14ac:dyDescent="0.25">
      <c r="A14" s="981" t="s">
        <v>258</v>
      </c>
      <c r="B14" s="981" t="s">
        <v>188</v>
      </c>
      <c r="C14" s="981">
        <v>1584</v>
      </c>
      <c r="D14" s="981">
        <v>30</v>
      </c>
      <c r="E14" s="981">
        <v>442</v>
      </c>
      <c r="F14" s="981">
        <v>47</v>
      </c>
      <c r="G14" s="981">
        <v>879</v>
      </c>
    </row>
    <row r="15" spans="1:7" x14ac:dyDescent="0.25">
      <c r="A15" s="981" t="s">
        <v>258</v>
      </c>
      <c r="B15" s="981" t="s">
        <v>189</v>
      </c>
      <c r="C15" s="981">
        <v>1359</v>
      </c>
      <c r="D15" s="981">
        <v>19</v>
      </c>
      <c r="E15" s="981">
        <v>405</v>
      </c>
      <c r="F15" s="981">
        <v>54</v>
      </c>
      <c r="G15" s="981">
        <v>781</v>
      </c>
    </row>
    <row r="16" spans="1:7" x14ac:dyDescent="0.25">
      <c r="A16" s="981" t="s">
        <v>258</v>
      </c>
      <c r="B16" s="981" t="s">
        <v>108</v>
      </c>
      <c r="C16" s="981">
        <v>990</v>
      </c>
      <c r="D16" s="981">
        <v>18</v>
      </c>
      <c r="E16" s="981">
        <v>294</v>
      </c>
      <c r="F16" s="981">
        <v>25</v>
      </c>
      <c r="G16" s="981">
        <v>589</v>
      </c>
    </row>
    <row r="17" spans="1:7" x14ac:dyDescent="0.25">
      <c r="A17" s="981" t="s">
        <v>258</v>
      </c>
      <c r="B17" s="981" t="s">
        <v>109</v>
      </c>
      <c r="C17" s="981">
        <v>901</v>
      </c>
      <c r="D17" s="981">
        <v>19</v>
      </c>
      <c r="E17" s="981">
        <v>248</v>
      </c>
      <c r="F17" s="981">
        <v>22</v>
      </c>
      <c r="G17" s="981">
        <v>551</v>
      </c>
    </row>
    <row r="18" spans="1:7" x14ac:dyDescent="0.25">
      <c r="A18" s="981" t="s">
        <v>258</v>
      </c>
      <c r="B18" s="981" t="s">
        <v>110</v>
      </c>
      <c r="C18" s="981">
        <v>329</v>
      </c>
      <c r="D18" s="981">
        <v>19</v>
      </c>
      <c r="E18" s="981">
        <v>158</v>
      </c>
      <c r="F18" s="981">
        <v>15</v>
      </c>
      <c r="G18" s="981">
        <v>99</v>
      </c>
    </row>
    <row r="19" spans="1:7" x14ac:dyDescent="0.25">
      <c r="A19" s="981" t="s">
        <v>258</v>
      </c>
      <c r="B19" s="981" t="s">
        <v>111</v>
      </c>
      <c r="C19" s="981">
        <v>86</v>
      </c>
      <c r="D19" s="981">
        <v>9</v>
      </c>
      <c r="E19" s="981">
        <v>53</v>
      </c>
      <c r="F19" s="981">
        <v>1</v>
      </c>
      <c r="G19" s="981">
        <v>4</v>
      </c>
    </row>
    <row r="20" spans="1:7" x14ac:dyDescent="0.25">
      <c r="A20" s="981" t="s">
        <v>258</v>
      </c>
      <c r="B20" s="981" t="s">
        <v>187</v>
      </c>
      <c r="C20" s="981">
        <v>1081</v>
      </c>
      <c r="D20" s="981">
        <v>27</v>
      </c>
      <c r="E20" s="981">
        <v>581</v>
      </c>
      <c r="F20" s="981">
        <v>53</v>
      </c>
      <c r="G20" s="981">
        <v>325</v>
      </c>
    </row>
    <row r="21" spans="1:7" x14ac:dyDescent="0.25">
      <c r="A21" s="981" t="s">
        <v>258</v>
      </c>
      <c r="B21" s="981" t="s">
        <v>327</v>
      </c>
      <c r="C21" s="981">
        <v>41</v>
      </c>
      <c r="D21" s="981">
        <v>4</v>
      </c>
      <c r="E21" s="981">
        <v>23</v>
      </c>
      <c r="F21" s="981">
        <v>4</v>
      </c>
      <c r="G21" s="981">
        <v>3</v>
      </c>
    </row>
    <row r="22" spans="1:7" x14ac:dyDescent="0.25">
      <c r="A22" s="981" t="s">
        <v>258</v>
      </c>
      <c r="B22" s="981" t="s">
        <v>328</v>
      </c>
      <c r="C22" s="981">
        <v>1535</v>
      </c>
      <c r="D22" s="981">
        <v>62</v>
      </c>
      <c r="E22" s="981">
        <v>749</v>
      </c>
      <c r="F22" s="981">
        <v>96</v>
      </c>
      <c r="G22" s="981">
        <v>406</v>
      </c>
    </row>
  </sheetData>
  <pageMargins left="0.7" right="0.7" top="0.75" bottom="0.75" header="0.3" footer="0.3"/>
  <pageSetup paperSize="9" fitToHeight="50"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I17"/>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1" spans="1:9" ht="15.75" x14ac:dyDescent="0.25">
      <c r="A1" s="982" t="s">
        <v>974</v>
      </c>
    </row>
    <row r="2" spans="1:9" x14ac:dyDescent="0.25">
      <c r="A2" s="1047">
        <v>43700</v>
      </c>
      <c r="B2" s="1048"/>
    </row>
    <row r="4" spans="1:9" x14ac:dyDescent="0.25">
      <c r="A4" s="980" t="s">
        <v>249</v>
      </c>
      <c r="B4" s="980" t="s">
        <v>973</v>
      </c>
      <c r="C4" s="980" t="s">
        <v>321</v>
      </c>
      <c r="D4" s="980" t="s">
        <v>9</v>
      </c>
      <c r="E4" s="980" t="s">
        <v>2</v>
      </c>
      <c r="F4" s="980" t="s">
        <v>3</v>
      </c>
      <c r="G4" s="980" t="s">
        <v>320</v>
      </c>
      <c r="H4" s="980" t="s">
        <v>26</v>
      </c>
      <c r="I4" s="980" t="s">
        <v>971</v>
      </c>
    </row>
    <row r="5" spans="1:9" x14ac:dyDescent="0.25">
      <c r="A5" s="981" t="s">
        <v>330</v>
      </c>
      <c r="B5" s="981" t="s">
        <v>966</v>
      </c>
      <c r="C5" s="981">
        <v>0.4</v>
      </c>
      <c r="D5" s="981">
        <v>0.3</v>
      </c>
      <c r="E5" s="981">
        <v>2.1</v>
      </c>
      <c r="F5" s="981">
        <v>1.4</v>
      </c>
      <c r="G5" s="981">
        <v>0.4</v>
      </c>
      <c r="H5" s="981">
        <v>0.6</v>
      </c>
      <c r="I5" s="981">
        <v>0.6</v>
      </c>
    </row>
    <row r="6" spans="1:9" x14ac:dyDescent="0.25">
      <c r="A6" s="981" t="s">
        <v>208</v>
      </c>
      <c r="B6" s="981" t="s">
        <v>966</v>
      </c>
      <c r="C6" s="981">
        <v>0.5</v>
      </c>
      <c r="D6" s="981">
        <v>0.3</v>
      </c>
      <c r="E6" s="981">
        <v>2.1</v>
      </c>
      <c r="F6" s="981">
        <v>1.5</v>
      </c>
      <c r="G6" s="981">
        <v>0.5</v>
      </c>
      <c r="H6" s="981">
        <v>0.6</v>
      </c>
      <c r="I6" s="981">
        <v>0.6</v>
      </c>
    </row>
    <row r="7" spans="1:9" x14ac:dyDescent="0.25">
      <c r="A7" s="981" t="s">
        <v>207</v>
      </c>
      <c r="B7" s="981" t="s">
        <v>966</v>
      </c>
      <c r="C7" s="981">
        <v>0.2</v>
      </c>
      <c r="D7" s="981">
        <v>0.2</v>
      </c>
      <c r="E7" s="981">
        <v>1.8</v>
      </c>
      <c r="F7" s="981">
        <v>0.7</v>
      </c>
      <c r="G7" s="981"/>
      <c r="H7" s="981">
        <v>0.3</v>
      </c>
      <c r="I7" s="981">
        <v>0.3</v>
      </c>
    </row>
    <row r="8" spans="1:9" x14ac:dyDescent="0.25">
      <c r="A8" s="981" t="s">
        <v>206</v>
      </c>
      <c r="B8" s="981" t="s">
        <v>966</v>
      </c>
      <c r="C8" s="981">
        <v>0.2</v>
      </c>
      <c r="D8" s="981">
        <v>0.2</v>
      </c>
      <c r="E8" s="981">
        <v>2.2000000000000002</v>
      </c>
      <c r="F8" s="981">
        <v>0.8</v>
      </c>
      <c r="G8" s="981"/>
      <c r="H8" s="981">
        <v>0.3</v>
      </c>
      <c r="I8" s="981">
        <v>0.3</v>
      </c>
    </row>
    <row r="9" spans="1:9" x14ac:dyDescent="0.25">
      <c r="A9" s="981" t="s">
        <v>206</v>
      </c>
      <c r="B9" s="981" t="s">
        <v>968</v>
      </c>
      <c r="C9" s="981">
        <v>80.8</v>
      </c>
      <c r="D9" s="981">
        <v>96.9</v>
      </c>
      <c r="E9" s="981">
        <v>60.4</v>
      </c>
      <c r="F9" s="981">
        <v>77.900000000000006</v>
      </c>
      <c r="G9" s="981">
        <v>47.4</v>
      </c>
      <c r="H9" s="981">
        <v>84.1</v>
      </c>
      <c r="I9" s="981">
        <v>85.9</v>
      </c>
    </row>
    <row r="10" spans="1:9" x14ac:dyDescent="0.25">
      <c r="A10" s="981" t="s">
        <v>205</v>
      </c>
      <c r="B10" s="981" t="s">
        <v>966</v>
      </c>
      <c r="C10" s="981">
        <v>0</v>
      </c>
      <c r="D10" s="981">
        <v>0.1</v>
      </c>
      <c r="E10" s="981">
        <v>0</v>
      </c>
      <c r="F10" s="981">
        <v>0.5</v>
      </c>
      <c r="G10" s="981">
        <v>0.3</v>
      </c>
      <c r="H10" s="981">
        <v>0.1</v>
      </c>
      <c r="I10" s="981">
        <v>0.1</v>
      </c>
    </row>
    <row r="11" spans="1:9" x14ac:dyDescent="0.25">
      <c r="A11" s="981" t="s">
        <v>205</v>
      </c>
      <c r="B11" s="981" t="s">
        <v>968</v>
      </c>
      <c r="C11" s="981">
        <v>100</v>
      </c>
      <c r="D11" s="981">
        <v>98</v>
      </c>
      <c r="E11" s="981">
        <v>100</v>
      </c>
      <c r="F11" s="981">
        <v>95</v>
      </c>
      <c r="G11" s="981">
        <v>94</v>
      </c>
      <c r="H11" s="981">
        <v>99</v>
      </c>
      <c r="I11" s="981">
        <v>99</v>
      </c>
    </row>
    <row r="12" spans="1:9" x14ac:dyDescent="0.25">
      <c r="A12" s="981" t="s">
        <v>278</v>
      </c>
      <c r="B12" s="981" t="s">
        <v>966</v>
      </c>
      <c r="C12" s="981">
        <v>0</v>
      </c>
      <c r="D12" s="981">
        <v>0.1</v>
      </c>
      <c r="E12" s="981">
        <v>0</v>
      </c>
      <c r="F12" s="981">
        <v>0.4</v>
      </c>
      <c r="G12" s="981">
        <v>0.3</v>
      </c>
      <c r="H12" s="981">
        <v>0.1</v>
      </c>
      <c r="I12" s="981">
        <v>0.1</v>
      </c>
    </row>
    <row r="13" spans="1:9" x14ac:dyDescent="0.25">
      <c r="A13" s="981" t="s">
        <v>278</v>
      </c>
      <c r="B13" s="981" t="s">
        <v>968</v>
      </c>
      <c r="C13" s="981">
        <v>99.5</v>
      </c>
      <c r="D13" s="981">
        <v>95.2</v>
      </c>
      <c r="E13" s="981">
        <v>99.4</v>
      </c>
      <c r="F13" s="981">
        <v>90.9</v>
      </c>
      <c r="G13" s="981">
        <v>96.2</v>
      </c>
      <c r="H13" s="981">
        <v>96.8</v>
      </c>
      <c r="I13" s="981">
        <v>96.9</v>
      </c>
    </row>
    <row r="14" spans="1:9" x14ac:dyDescent="0.25">
      <c r="A14" s="981" t="s">
        <v>259</v>
      </c>
      <c r="B14" s="981" t="s">
        <v>966</v>
      </c>
      <c r="C14" s="981">
        <v>0.3</v>
      </c>
      <c r="D14" s="981">
        <v>0.3</v>
      </c>
      <c r="E14" s="981"/>
      <c r="F14" s="981">
        <v>1.2</v>
      </c>
      <c r="G14" s="981">
        <v>0.3</v>
      </c>
      <c r="H14" s="981">
        <v>0.4</v>
      </c>
      <c r="I14" s="981">
        <v>0.4</v>
      </c>
    </row>
    <row r="15" spans="1:9" x14ac:dyDescent="0.25">
      <c r="A15" s="981" t="s">
        <v>259</v>
      </c>
      <c r="B15" s="981" t="s">
        <v>968</v>
      </c>
      <c r="C15" s="981">
        <v>91.4</v>
      </c>
      <c r="D15" s="981">
        <v>80.599999999999994</v>
      </c>
      <c r="E15" s="981">
        <v>87.3</v>
      </c>
      <c r="F15" s="981">
        <v>75.099999999999994</v>
      </c>
      <c r="G15" s="981">
        <v>96.4</v>
      </c>
      <c r="H15" s="981">
        <v>85.8</v>
      </c>
      <c r="I15" s="981">
        <v>85.3</v>
      </c>
    </row>
    <row r="16" spans="1:9" x14ac:dyDescent="0.25">
      <c r="A16" s="981" t="s">
        <v>258</v>
      </c>
      <c r="B16" s="981" t="s">
        <v>966</v>
      </c>
      <c r="C16" s="981">
        <v>0.7</v>
      </c>
      <c r="D16" s="981">
        <v>0.4</v>
      </c>
      <c r="E16" s="981">
        <v>0.5</v>
      </c>
      <c r="F16" s="981">
        <v>2.1</v>
      </c>
      <c r="G16" s="981">
        <v>0.3</v>
      </c>
      <c r="H16" s="981">
        <v>0.7</v>
      </c>
      <c r="I16" s="981">
        <v>0.7</v>
      </c>
    </row>
    <row r="17" spans="1:9" x14ac:dyDescent="0.25">
      <c r="A17" s="981" t="s">
        <v>258</v>
      </c>
      <c r="B17" s="981" t="s">
        <v>968</v>
      </c>
      <c r="C17" s="981">
        <v>78.8</v>
      </c>
      <c r="D17" s="981">
        <v>73.8</v>
      </c>
      <c r="E17" s="981">
        <v>78.3</v>
      </c>
      <c r="F17" s="981">
        <v>60.1</v>
      </c>
      <c r="G17" s="981">
        <v>95.9</v>
      </c>
      <c r="H17" s="981">
        <v>75.7</v>
      </c>
      <c r="I17" s="981">
        <v>74.900000000000006</v>
      </c>
    </row>
  </sheetData>
  <mergeCells count="1">
    <mergeCell ref="A2:B2"/>
  </mergeCells>
  <pageMargins left="0.7" right="0.7" top="0.75" bottom="0.75" header="0.3" footer="0.3"/>
  <pageSetup paperSize="9" fitToHeight="5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D9B3FF"/>
  </sheetPr>
  <dimension ref="A1:AG55"/>
  <sheetViews>
    <sheetView topLeftCell="F3" workbookViewId="0">
      <selection activeCell="Q33" sqref="Q33"/>
    </sheetView>
  </sheetViews>
  <sheetFormatPr defaultRowHeight="15" x14ac:dyDescent="0.25"/>
  <cols>
    <col min="1" max="1" width="14.42578125" customWidth="1"/>
    <col min="2" max="2" width="22" customWidth="1"/>
    <col min="3" max="3" width="26.7109375" customWidth="1"/>
    <col min="4" max="4" width="9.7109375" customWidth="1"/>
    <col min="5" max="5" width="17.42578125" customWidth="1"/>
    <col min="6" max="6" width="27.5703125" customWidth="1"/>
    <col min="7" max="7" width="19.28515625" customWidth="1"/>
    <col min="8" max="8" width="10.140625" customWidth="1"/>
    <col min="9" max="9" width="25" customWidth="1"/>
    <col min="10" max="10" width="26.7109375" customWidth="1"/>
    <col min="11" max="11" width="9.7109375" customWidth="1"/>
    <col min="12" max="12" width="17.42578125" customWidth="1"/>
    <col min="13" max="13" width="27.5703125" customWidth="1"/>
    <col min="14" max="14" width="19.28515625" customWidth="1"/>
    <col min="15" max="15" width="10.140625" customWidth="1"/>
    <col min="16" max="16" width="25" customWidth="1"/>
    <col min="17" max="17" width="10" customWidth="1"/>
    <col min="18" max="18" width="17.42578125" customWidth="1"/>
    <col min="19" max="19" width="27.5703125" customWidth="1"/>
    <col min="20" max="20" width="19.28515625" customWidth="1"/>
    <col min="21" max="21" width="10.140625" customWidth="1"/>
    <col min="22" max="22" width="25" customWidth="1"/>
    <col min="23" max="23" width="11.28515625" customWidth="1"/>
    <col min="24" max="24" width="25" customWidth="1"/>
    <col min="25" max="25" width="10" customWidth="1"/>
    <col min="26" max="26" width="17.42578125" customWidth="1"/>
    <col min="27" max="27" width="27.5703125" customWidth="1"/>
    <col min="28" max="28" width="19.28515625" customWidth="1"/>
    <col min="29" max="29" width="10.140625" customWidth="1"/>
    <col min="30" max="30" width="25" customWidth="1"/>
    <col min="31" max="31" width="11.28515625" customWidth="1"/>
    <col min="32" max="32" width="27.5703125" customWidth="1"/>
    <col min="33" max="33" width="19.28515625" bestFit="1" customWidth="1"/>
    <col min="34" max="34" width="10.140625" bestFit="1" customWidth="1"/>
    <col min="35" max="35" width="25" bestFit="1" customWidth="1"/>
    <col min="36" max="36" width="13.140625" bestFit="1" customWidth="1"/>
    <col min="37" max="37" width="11.28515625" bestFit="1" customWidth="1"/>
  </cols>
  <sheetData>
    <row r="1" spans="1:33" x14ac:dyDescent="0.25">
      <c r="C1" t="s">
        <v>473</v>
      </c>
    </row>
    <row r="4" spans="1:33" x14ac:dyDescent="0.25">
      <c r="A4" s="569" t="s">
        <v>342</v>
      </c>
      <c r="B4" s="569" t="s">
        <v>276</v>
      </c>
    </row>
    <row r="5" spans="1:33" x14ac:dyDescent="0.25">
      <c r="B5" t="s">
        <v>475</v>
      </c>
      <c r="D5" t="s">
        <v>476</v>
      </c>
      <c r="I5" t="s">
        <v>340</v>
      </c>
      <c r="M5" t="s">
        <v>341</v>
      </c>
      <c r="P5" t="s">
        <v>255</v>
      </c>
    </row>
    <row r="6" spans="1:33" x14ac:dyDescent="0.25">
      <c r="A6" s="569" t="s">
        <v>250</v>
      </c>
      <c r="B6" t="s">
        <v>200</v>
      </c>
      <c r="C6" t="s">
        <v>218</v>
      </c>
      <c r="D6" t="s">
        <v>192</v>
      </c>
      <c r="E6" t="s">
        <v>218</v>
      </c>
      <c r="F6" t="s">
        <v>193</v>
      </c>
      <c r="G6" t="s">
        <v>125</v>
      </c>
      <c r="H6" t="s">
        <v>194</v>
      </c>
      <c r="I6" t="s">
        <v>192</v>
      </c>
      <c r="J6" t="s">
        <v>193</v>
      </c>
      <c r="K6" t="s">
        <v>125</v>
      </c>
      <c r="L6" t="s">
        <v>194</v>
      </c>
      <c r="M6" t="s">
        <v>193</v>
      </c>
      <c r="N6" t="s">
        <v>125</v>
      </c>
      <c r="O6" t="s">
        <v>194</v>
      </c>
    </row>
    <row r="7" spans="1:33" x14ac:dyDescent="0.25">
      <c r="A7" s="986" t="s">
        <v>278</v>
      </c>
      <c r="B7" s="571">
        <v>777</v>
      </c>
      <c r="C7" s="571">
        <v>11</v>
      </c>
      <c r="D7" s="571">
        <v>26</v>
      </c>
      <c r="E7" s="571"/>
      <c r="F7" s="571">
        <v>145</v>
      </c>
      <c r="G7" s="571">
        <v>418</v>
      </c>
      <c r="H7" s="571">
        <v>43</v>
      </c>
      <c r="I7" s="571">
        <v>2</v>
      </c>
      <c r="J7" s="571">
        <v>10</v>
      </c>
      <c r="K7" s="571">
        <v>51</v>
      </c>
      <c r="L7" s="571">
        <v>2</v>
      </c>
      <c r="M7" s="571">
        <v>18</v>
      </c>
      <c r="N7" s="571">
        <v>36</v>
      </c>
      <c r="O7" s="571">
        <v>8</v>
      </c>
      <c r="P7" s="571">
        <v>1547</v>
      </c>
      <c r="AG7" s="571"/>
    </row>
    <row r="8" spans="1:33" x14ac:dyDescent="0.25">
      <c r="A8" s="986" t="s">
        <v>259</v>
      </c>
      <c r="B8" s="571">
        <v>602</v>
      </c>
      <c r="C8" s="571">
        <v>39</v>
      </c>
      <c r="D8" s="571">
        <v>25</v>
      </c>
      <c r="E8" s="571">
        <v>95</v>
      </c>
      <c r="F8" s="571">
        <v>147</v>
      </c>
      <c r="G8" s="571">
        <v>417</v>
      </c>
      <c r="H8" s="571">
        <v>43</v>
      </c>
      <c r="I8" s="571">
        <v>3</v>
      </c>
      <c r="J8" s="571">
        <v>11</v>
      </c>
      <c r="K8" s="571">
        <v>59</v>
      </c>
      <c r="L8" s="571">
        <v>1</v>
      </c>
      <c r="M8" s="571">
        <v>24</v>
      </c>
      <c r="N8" s="571">
        <v>30</v>
      </c>
      <c r="O8" s="571">
        <v>10</v>
      </c>
      <c r="P8" s="571">
        <v>1506</v>
      </c>
      <c r="AG8" s="571"/>
    </row>
    <row r="9" spans="1:33" x14ac:dyDescent="0.25">
      <c r="A9" s="986" t="s">
        <v>258</v>
      </c>
      <c r="B9" s="571">
        <v>509</v>
      </c>
      <c r="C9" s="571">
        <v>23</v>
      </c>
      <c r="D9" s="571">
        <v>28</v>
      </c>
      <c r="E9" s="571">
        <v>198</v>
      </c>
      <c r="F9" s="571">
        <v>165</v>
      </c>
      <c r="G9" s="571">
        <v>431</v>
      </c>
      <c r="H9" s="571">
        <v>42</v>
      </c>
      <c r="I9" s="571">
        <v>4</v>
      </c>
      <c r="J9" s="571">
        <v>16</v>
      </c>
      <c r="K9" s="571">
        <v>69</v>
      </c>
      <c r="L9" s="571">
        <v>1</v>
      </c>
      <c r="M9" s="571">
        <v>22</v>
      </c>
      <c r="N9" s="571">
        <v>33</v>
      </c>
      <c r="O9" s="571">
        <v>10</v>
      </c>
      <c r="P9" s="571">
        <v>1551</v>
      </c>
      <c r="AG9" s="571"/>
    </row>
    <row r="10" spans="1:33" x14ac:dyDescent="0.25">
      <c r="AG10" s="571"/>
    </row>
    <row r="17" spans="1:23" x14ac:dyDescent="0.25">
      <c r="C17" t="s">
        <v>474</v>
      </c>
    </row>
    <row r="20" spans="1:23" x14ac:dyDescent="0.25">
      <c r="A20" s="569" t="s">
        <v>367</v>
      </c>
      <c r="B20" s="569" t="s">
        <v>276</v>
      </c>
    </row>
    <row r="21" spans="1:23" x14ac:dyDescent="0.25">
      <c r="B21" t="s">
        <v>475</v>
      </c>
      <c r="C21" t="s">
        <v>476</v>
      </c>
      <c r="J21" t="s">
        <v>340</v>
      </c>
      <c r="Q21" t="s">
        <v>341</v>
      </c>
      <c r="W21" t="s">
        <v>255</v>
      </c>
    </row>
    <row r="22" spans="1:23" x14ac:dyDescent="0.25">
      <c r="A22" s="569" t="s">
        <v>250</v>
      </c>
      <c r="B22" t="s">
        <v>466</v>
      </c>
      <c r="C22" t="s">
        <v>465</v>
      </c>
      <c r="D22" t="s">
        <v>217</v>
      </c>
      <c r="E22" t="s">
        <v>467</v>
      </c>
      <c r="F22" t="s">
        <v>468</v>
      </c>
      <c r="G22" t="s">
        <v>125</v>
      </c>
      <c r="H22" t="s">
        <v>194</v>
      </c>
      <c r="I22" t="s">
        <v>202</v>
      </c>
      <c r="J22" t="s">
        <v>465</v>
      </c>
      <c r="K22" t="s">
        <v>217</v>
      </c>
      <c r="L22" t="s">
        <v>467</v>
      </c>
      <c r="M22" t="s">
        <v>468</v>
      </c>
      <c r="N22" t="s">
        <v>125</v>
      </c>
      <c r="O22" t="s">
        <v>194</v>
      </c>
      <c r="P22" t="s">
        <v>202</v>
      </c>
      <c r="Q22" t="s">
        <v>217</v>
      </c>
      <c r="R22" t="s">
        <v>467</v>
      </c>
      <c r="S22" t="s">
        <v>468</v>
      </c>
      <c r="T22" t="s">
        <v>125</v>
      </c>
      <c r="U22" t="s">
        <v>194</v>
      </c>
      <c r="V22" t="s">
        <v>202</v>
      </c>
    </row>
    <row r="23" spans="1:23" x14ac:dyDescent="0.25">
      <c r="A23" s="986" t="s">
        <v>278</v>
      </c>
      <c r="B23" s="571">
        <v>787</v>
      </c>
      <c r="C23" s="571">
        <v>26</v>
      </c>
      <c r="D23" s="571">
        <v>26</v>
      </c>
      <c r="E23" s="571">
        <v>68</v>
      </c>
      <c r="F23" s="571">
        <v>17</v>
      </c>
      <c r="G23" s="571">
        <v>418</v>
      </c>
      <c r="H23" s="571">
        <v>43</v>
      </c>
      <c r="I23" s="571">
        <v>34</v>
      </c>
      <c r="J23" s="571">
        <v>2</v>
      </c>
      <c r="K23" s="571">
        <v>3</v>
      </c>
      <c r="L23" s="571">
        <v>5</v>
      </c>
      <c r="M23" s="571"/>
      <c r="N23" s="571">
        <v>51</v>
      </c>
      <c r="O23" s="571">
        <v>2</v>
      </c>
      <c r="P23" s="571">
        <v>2</v>
      </c>
      <c r="Q23" s="571">
        <v>8</v>
      </c>
      <c r="R23" s="571">
        <v>10</v>
      </c>
      <c r="S23" s="571"/>
      <c r="T23" s="571">
        <v>36</v>
      </c>
      <c r="U23" s="571">
        <v>8</v>
      </c>
      <c r="V23" s="571"/>
      <c r="W23" s="571">
        <v>1546</v>
      </c>
    </row>
    <row r="24" spans="1:23" x14ac:dyDescent="0.25">
      <c r="A24" s="986" t="s">
        <v>259</v>
      </c>
      <c r="B24" s="571">
        <v>735</v>
      </c>
      <c r="C24" s="571">
        <v>25</v>
      </c>
      <c r="D24" s="571">
        <v>27</v>
      </c>
      <c r="E24" s="571">
        <v>59</v>
      </c>
      <c r="F24" s="571">
        <v>20</v>
      </c>
      <c r="G24" s="571">
        <v>417</v>
      </c>
      <c r="H24" s="571">
        <v>43</v>
      </c>
      <c r="I24" s="571">
        <v>41</v>
      </c>
      <c r="J24" s="571">
        <v>3</v>
      </c>
      <c r="K24" s="571">
        <v>3</v>
      </c>
      <c r="L24" s="571">
        <v>5</v>
      </c>
      <c r="M24" s="571"/>
      <c r="N24" s="571">
        <v>59</v>
      </c>
      <c r="O24" s="571">
        <v>1</v>
      </c>
      <c r="P24" s="571">
        <v>3</v>
      </c>
      <c r="Q24" s="571">
        <v>8</v>
      </c>
      <c r="R24" s="571">
        <v>14</v>
      </c>
      <c r="S24" s="571">
        <v>1</v>
      </c>
      <c r="T24" s="571">
        <v>30</v>
      </c>
      <c r="U24" s="571">
        <v>10</v>
      </c>
      <c r="V24" s="571">
        <v>1</v>
      </c>
      <c r="W24" s="571">
        <v>1505</v>
      </c>
    </row>
    <row r="25" spans="1:23" x14ac:dyDescent="0.25">
      <c r="A25" s="986" t="s">
        <v>258</v>
      </c>
      <c r="B25" s="571">
        <v>729</v>
      </c>
      <c r="C25" s="571">
        <v>28</v>
      </c>
      <c r="D25" s="571">
        <v>39</v>
      </c>
      <c r="E25" s="571">
        <v>62</v>
      </c>
      <c r="F25" s="571">
        <v>25</v>
      </c>
      <c r="G25" s="571">
        <v>431</v>
      </c>
      <c r="H25" s="571">
        <v>42</v>
      </c>
      <c r="I25" s="571">
        <v>39</v>
      </c>
      <c r="J25" s="571">
        <v>4</v>
      </c>
      <c r="K25" s="571">
        <v>4</v>
      </c>
      <c r="L25" s="571">
        <v>7</v>
      </c>
      <c r="M25" s="571">
        <v>1</v>
      </c>
      <c r="N25" s="571">
        <v>69</v>
      </c>
      <c r="O25" s="571">
        <v>1</v>
      </c>
      <c r="P25" s="571">
        <v>4</v>
      </c>
      <c r="Q25" s="571">
        <v>8</v>
      </c>
      <c r="R25" s="571">
        <v>12</v>
      </c>
      <c r="S25" s="571">
        <v>1</v>
      </c>
      <c r="T25" s="571">
        <v>33</v>
      </c>
      <c r="U25" s="571">
        <v>10</v>
      </c>
      <c r="V25" s="571">
        <v>1</v>
      </c>
      <c r="W25" s="571">
        <v>1550</v>
      </c>
    </row>
    <row r="51" spans="4:5" x14ac:dyDescent="0.25">
      <c r="D51" s="571"/>
      <c r="E51" s="571"/>
    </row>
    <row r="52" spans="4:5" x14ac:dyDescent="0.25">
      <c r="D52" s="571"/>
      <c r="E52" s="571"/>
    </row>
    <row r="53" spans="4:5" x14ac:dyDescent="0.25">
      <c r="D53" s="571"/>
      <c r="E53" s="571"/>
    </row>
    <row r="54" spans="4:5" x14ac:dyDescent="0.25">
      <c r="D54" s="571"/>
      <c r="E54" s="571"/>
    </row>
    <row r="55" spans="4:5" x14ac:dyDescent="0.25">
      <c r="D55" s="571"/>
      <c r="E55" s="571"/>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4:G175"/>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7" x14ac:dyDescent="0.25">
      <c r="A4" s="980" t="s">
        <v>249</v>
      </c>
      <c r="B4" s="980" t="s">
        <v>321</v>
      </c>
      <c r="C4" s="980" t="s">
        <v>9</v>
      </c>
      <c r="D4" s="980" t="s">
        <v>975</v>
      </c>
      <c r="E4" s="980" t="s">
        <v>320</v>
      </c>
      <c r="F4" s="980" t="s">
        <v>26</v>
      </c>
    </row>
    <row r="5" spans="1:7" x14ac:dyDescent="0.25">
      <c r="A5" s="981" t="s">
        <v>330</v>
      </c>
      <c r="B5" s="981">
        <v>74</v>
      </c>
      <c r="C5" s="981">
        <v>241</v>
      </c>
      <c r="D5" s="981">
        <v>4</v>
      </c>
      <c r="E5" s="981">
        <v>53</v>
      </c>
      <c r="F5" s="981">
        <v>372</v>
      </c>
    </row>
    <row r="6" spans="1:7" x14ac:dyDescent="0.25">
      <c r="A6" s="981" t="s">
        <v>208</v>
      </c>
      <c r="B6" s="981">
        <v>74</v>
      </c>
      <c r="C6" s="981">
        <v>236</v>
      </c>
      <c r="D6" s="981">
        <v>4</v>
      </c>
      <c r="E6" s="981">
        <v>43</v>
      </c>
      <c r="F6" s="981">
        <v>357</v>
      </c>
    </row>
    <row r="7" spans="1:7" x14ac:dyDescent="0.25">
      <c r="A7" s="981" t="s">
        <v>207</v>
      </c>
      <c r="B7" s="981">
        <v>74</v>
      </c>
      <c r="C7" s="981">
        <v>237</v>
      </c>
      <c r="D7" s="981">
        <v>3</v>
      </c>
      <c r="E7" s="981">
        <v>43</v>
      </c>
      <c r="F7" s="981">
        <v>357</v>
      </c>
    </row>
    <row r="8" spans="1:7" x14ac:dyDescent="0.25">
      <c r="A8" s="981" t="s">
        <v>206</v>
      </c>
      <c r="B8" s="981">
        <v>74</v>
      </c>
      <c r="C8" s="981">
        <v>240</v>
      </c>
      <c r="D8" s="981">
        <v>0</v>
      </c>
      <c r="E8" s="981">
        <v>42</v>
      </c>
      <c r="F8" s="981">
        <v>356</v>
      </c>
    </row>
    <row r="9" spans="1:7" x14ac:dyDescent="0.25">
      <c r="A9" s="981" t="s">
        <v>205</v>
      </c>
      <c r="B9" s="981">
        <v>74</v>
      </c>
      <c r="C9" s="981">
        <v>240</v>
      </c>
      <c r="D9" s="981">
        <v>0</v>
      </c>
      <c r="E9" s="981">
        <v>42</v>
      </c>
      <c r="F9" s="981">
        <v>356</v>
      </c>
    </row>
    <row r="10" spans="1:7" x14ac:dyDescent="0.25">
      <c r="A10" s="981" t="s">
        <v>278</v>
      </c>
      <c r="B10" s="981">
        <v>74</v>
      </c>
      <c r="C10" s="981">
        <v>240</v>
      </c>
      <c r="D10" s="981">
        <v>0</v>
      </c>
      <c r="E10" s="981">
        <v>42</v>
      </c>
      <c r="F10" s="981">
        <v>356</v>
      </c>
    </row>
    <row r="11" spans="1:7" x14ac:dyDescent="0.25">
      <c r="A11" s="981" t="s">
        <v>259</v>
      </c>
      <c r="B11" s="981">
        <v>74</v>
      </c>
      <c r="C11" s="981">
        <v>240</v>
      </c>
      <c r="D11" s="981">
        <v>0</v>
      </c>
      <c r="E11" s="981">
        <v>42</v>
      </c>
      <c r="F11" s="981">
        <v>356</v>
      </c>
    </row>
    <row r="12" spans="1:7" x14ac:dyDescent="0.25">
      <c r="A12" s="981" t="s">
        <v>258</v>
      </c>
      <c r="B12" s="981">
        <v>74</v>
      </c>
      <c r="C12" s="981">
        <v>240</v>
      </c>
      <c r="D12" s="981">
        <v>0</v>
      </c>
      <c r="E12" s="981">
        <v>42</v>
      </c>
      <c r="F12" s="981">
        <v>356</v>
      </c>
    </row>
    <row r="15" spans="1:7" x14ac:dyDescent="0.25">
      <c r="A15" s="983" t="s">
        <v>334</v>
      </c>
      <c r="B15" s="983" t="s">
        <v>883</v>
      </c>
      <c r="C15" s="983" t="s">
        <v>884</v>
      </c>
      <c r="D15" s="983" t="s">
        <v>122</v>
      </c>
      <c r="E15" s="983" t="s">
        <v>198</v>
      </c>
      <c r="F15" s="983" t="s">
        <v>29</v>
      </c>
      <c r="G15" s="983" t="s">
        <v>26</v>
      </c>
    </row>
    <row r="16" spans="1:7" x14ac:dyDescent="0.25">
      <c r="A16" s="981" t="s">
        <v>206</v>
      </c>
      <c r="B16" s="981" t="s">
        <v>31</v>
      </c>
      <c r="C16" s="981" t="s">
        <v>306</v>
      </c>
      <c r="D16" s="981">
        <v>3</v>
      </c>
      <c r="E16" s="981">
        <v>1</v>
      </c>
      <c r="F16" s="981"/>
      <c r="G16" s="981">
        <v>4</v>
      </c>
    </row>
    <row r="17" spans="1:7" x14ac:dyDescent="0.25">
      <c r="A17" s="981" t="s">
        <v>206</v>
      </c>
      <c r="B17" s="981" t="s">
        <v>32</v>
      </c>
      <c r="C17" s="981" t="s">
        <v>307</v>
      </c>
      <c r="D17" s="981">
        <v>1</v>
      </c>
      <c r="E17" s="981">
        <v>23</v>
      </c>
      <c r="F17" s="981"/>
      <c r="G17" s="981">
        <v>24</v>
      </c>
    </row>
    <row r="18" spans="1:7" x14ac:dyDescent="0.25">
      <c r="A18" s="981" t="s">
        <v>206</v>
      </c>
      <c r="B18" s="981" t="s">
        <v>33</v>
      </c>
      <c r="C18" s="981" t="s">
        <v>313</v>
      </c>
      <c r="D18" s="981">
        <v>1</v>
      </c>
      <c r="E18" s="981">
        <v>5</v>
      </c>
      <c r="F18" s="981"/>
      <c r="G18" s="981">
        <v>6</v>
      </c>
    </row>
    <row r="19" spans="1:7" x14ac:dyDescent="0.25">
      <c r="A19" s="981" t="s">
        <v>206</v>
      </c>
      <c r="B19" s="981" t="s">
        <v>34</v>
      </c>
      <c r="C19" s="981" t="s">
        <v>308</v>
      </c>
      <c r="D19" s="981">
        <v>2</v>
      </c>
      <c r="E19" s="981">
        <v>12</v>
      </c>
      <c r="F19" s="981">
        <v>25</v>
      </c>
      <c r="G19" s="981">
        <v>39</v>
      </c>
    </row>
    <row r="20" spans="1:7" x14ac:dyDescent="0.25">
      <c r="A20" s="981" t="s">
        <v>206</v>
      </c>
      <c r="B20" s="981" t="s">
        <v>262</v>
      </c>
      <c r="C20" s="981" t="s">
        <v>309</v>
      </c>
      <c r="D20" s="981">
        <v>7</v>
      </c>
      <c r="E20" s="981">
        <v>1</v>
      </c>
      <c r="F20" s="981"/>
      <c r="G20" s="981">
        <v>8</v>
      </c>
    </row>
    <row r="21" spans="1:7" x14ac:dyDescent="0.25">
      <c r="A21" s="981" t="s">
        <v>206</v>
      </c>
      <c r="B21" s="981" t="s">
        <v>35</v>
      </c>
      <c r="C21" s="981" t="s">
        <v>287</v>
      </c>
      <c r="D21" s="981">
        <v>1</v>
      </c>
      <c r="E21" s="981">
        <v>1</v>
      </c>
      <c r="F21" s="981"/>
      <c r="G21" s="981">
        <v>2</v>
      </c>
    </row>
    <row r="22" spans="1:7" x14ac:dyDescent="0.25">
      <c r="A22" s="981" t="s">
        <v>206</v>
      </c>
      <c r="B22" s="981" t="s">
        <v>36</v>
      </c>
      <c r="C22" s="981" t="s">
        <v>288</v>
      </c>
      <c r="D22" s="981">
        <v>1</v>
      </c>
      <c r="E22" s="981">
        <v>15</v>
      </c>
      <c r="F22" s="981">
        <v>1</v>
      </c>
      <c r="G22" s="981">
        <v>17</v>
      </c>
    </row>
    <row r="23" spans="1:7" x14ac:dyDescent="0.25">
      <c r="A23" s="981" t="s">
        <v>206</v>
      </c>
      <c r="B23" s="981" t="s">
        <v>37</v>
      </c>
      <c r="C23" s="981" t="s">
        <v>314</v>
      </c>
      <c r="D23" s="981">
        <v>4</v>
      </c>
      <c r="E23" s="981"/>
      <c r="F23" s="981"/>
      <c r="G23" s="981">
        <v>4</v>
      </c>
    </row>
    <row r="24" spans="1:7" x14ac:dyDescent="0.25">
      <c r="A24" s="981" t="s">
        <v>206</v>
      </c>
      <c r="B24" s="981" t="s">
        <v>38</v>
      </c>
      <c r="C24" s="981" t="s">
        <v>289</v>
      </c>
      <c r="D24" s="981">
        <v>1</v>
      </c>
      <c r="E24" s="981">
        <v>7</v>
      </c>
      <c r="F24" s="981"/>
      <c r="G24" s="981">
        <v>8</v>
      </c>
    </row>
    <row r="25" spans="1:7" x14ac:dyDescent="0.25">
      <c r="A25" s="981" t="s">
        <v>206</v>
      </c>
      <c r="B25" s="981" t="s">
        <v>39</v>
      </c>
      <c r="C25" s="981" t="s">
        <v>316</v>
      </c>
      <c r="D25" s="981">
        <v>3</v>
      </c>
      <c r="E25" s="981"/>
      <c r="F25" s="981"/>
      <c r="G25" s="981">
        <v>3</v>
      </c>
    </row>
    <row r="26" spans="1:7" x14ac:dyDescent="0.25">
      <c r="A26" s="981" t="s">
        <v>206</v>
      </c>
      <c r="B26" s="981" t="s">
        <v>40</v>
      </c>
      <c r="C26" s="981" t="s">
        <v>290</v>
      </c>
      <c r="D26" s="981">
        <v>1</v>
      </c>
      <c r="E26" s="981">
        <v>5</v>
      </c>
      <c r="F26" s="981"/>
      <c r="G26" s="981">
        <v>6</v>
      </c>
    </row>
    <row r="27" spans="1:7" x14ac:dyDescent="0.25">
      <c r="A27" s="981" t="s">
        <v>206</v>
      </c>
      <c r="B27" s="981" t="s">
        <v>41</v>
      </c>
      <c r="C27" s="981" t="s">
        <v>291</v>
      </c>
      <c r="D27" s="981">
        <v>2</v>
      </c>
      <c r="E27" s="981"/>
      <c r="F27" s="981"/>
      <c r="G27" s="981">
        <v>2</v>
      </c>
    </row>
    <row r="28" spans="1:7" x14ac:dyDescent="0.25">
      <c r="A28" s="981" t="s">
        <v>206</v>
      </c>
      <c r="B28" s="981" t="s">
        <v>42</v>
      </c>
      <c r="C28" s="981" t="s">
        <v>293</v>
      </c>
      <c r="D28" s="981">
        <v>3</v>
      </c>
      <c r="E28" s="981">
        <v>2</v>
      </c>
      <c r="F28" s="981"/>
      <c r="G28" s="981">
        <v>5</v>
      </c>
    </row>
    <row r="29" spans="1:7" x14ac:dyDescent="0.25">
      <c r="A29" s="981" t="s">
        <v>206</v>
      </c>
      <c r="B29" s="981" t="s">
        <v>43</v>
      </c>
      <c r="C29" s="981" t="s">
        <v>318</v>
      </c>
      <c r="D29" s="981">
        <v>5</v>
      </c>
      <c r="E29" s="981">
        <v>8</v>
      </c>
      <c r="F29" s="981"/>
      <c r="G29" s="981">
        <v>13</v>
      </c>
    </row>
    <row r="30" spans="1:7" x14ac:dyDescent="0.25">
      <c r="A30" s="981" t="s">
        <v>206</v>
      </c>
      <c r="B30" s="981" t="s">
        <v>124</v>
      </c>
      <c r="C30" s="981" t="s">
        <v>317</v>
      </c>
      <c r="D30" s="981">
        <v>11</v>
      </c>
      <c r="E30" s="981"/>
      <c r="F30" s="981"/>
      <c r="G30" s="981">
        <v>11</v>
      </c>
    </row>
    <row r="31" spans="1:7" x14ac:dyDescent="0.25">
      <c r="A31" s="981" t="s">
        <v>206</v>
      </c>
      <c r="B31" s="981" t="s">
        <v>44</v>
      </c>
      <c r="C31" s="981" t="s">
        <v>294</v>
      </c>
      <c r="D31" s="981">
        <v>1</v>
      </c>
      <c r="E31" s="981">
        <v>51</v>
      </c>
      <c r="F31" s="981">
        <v>9</v>
      </c>
      <c r="G31" s="981">
        <v>61</v>
      </c>
    </row>
    <row r="32" spans="1:7" x14ac:dyDescent="0.25">
      <c r="A32" s="981" t="s">
        <v>206</v>
      </c>
      <c r="B32" s="981" t="s">
        <v>45</v>
      </c>
      <c r="C32" s="981" t="s">
        <v>295</v>
      </c>
      <c r="D32" s="981">
        <v>2</v>
      </c>
      <c r="E32" s="981">
        <v>1</v>
      </c>
      <c r="F32" s="981"/>
      <c r="G32" s="981">
        <v>3</v>
      </c>
    </row>
    <row r="33" spans="1:7" x14ac:dyDescent="0.25">
      <c r="A33" s="981" t="s">
        <v>206</v>
      </c>
      <c r="B33" s="981" t="s">
        <v>46</v>
      </c>
      <c r="C33" s="981" t="s">
        <v>296</v>
      </c>
      <c r="D33" s="981">
        <v>1</v>
      </c>
      <c r="E33" s="981">
        <v>1</v>
      </c>
      <c r="F33" s="981"/>
      <c r="G33" s="981">
        <v>2</v>
      </c>
    </row>
    <row r="34" spans="1:7" x14ac:dyDescent="0.25">
      <c r="A34" s="981" t="s">
        <v>206</v>
      </c>
      <c r="B34" s="981" t="s">
        <v>47</v>
      </c>
      <c r="C34" s="981" t="s">
        <v>297</v>
      </c>
      <c r="D34" s="981">
        <v>1</v>
      </c>
      <c r="E34" s="981">
        <v>10</v>
      </c>
      <c r="F34" s="981"/>
      <c r="G34" s="981">
        <v>11</v>
      </c>
    </row>
    <row r="35" spans="1:7" x14ac:dyDescent="0.25">
      <c r="A35" s="981" t="s">
        <v>206</v>
      </c>
      <c r="B35" s="981" t="s">
        <v>48</v>
      </c>
      <c r="C35" s="981" t="s">
        <v>292</v>
      </c>
      <c r="D35" s="981"/>
      <c r="E35" s="981">
        <v>14</v>
      </c>
      <c r="F35" s="981"/>
      <c r="G35" s="981">
        <v>14</v>
      </c>
    </row>
    <row r="36" spans="1:7" x14ac:dyDescent="0.25">
      <c r="A36" s="981" t="s">
        <v>206</v>
      </c>
      <c r="B36" s="981" t="s">
        <v>49</v>
      </c>
      <c r="C36" s="981" t="s">
        <v>298</v>
      </c>
      <c r="D36" s="981">
        <v>3</v>
      </c>
      <c r="E36" s="981">
        <v>8</v>
      </c>
      <c r="F36" s="981">
        <v>3</v>
      </c>
      <c r="G36" s="981">
        <v>14</v>
      </c>
    </row>
    <row r="37" spans="1:7" x14ac:dyDescent="0.25">
      <c r="A37" s="981" t="s">
        <v>206</v>
      </c>
      <c r="B37" s="981" t="s">
        <v>50</v>
      </c>
      <c r="C37" s="981" t="s">
        <v>315</v>
      </c>
      <c r="D37" s="981">
        <v>4</v>
      </c>
      <c r="E37" s="981">
        <v>3</v>
      </c>
      <c r="F37" s="981"/>
      <c r="G37" s="981">
        <v>7</v>
      </c>
    </row>
    <row r="38" spans="1:7" x14ac:dyDescent="0.25">
      <c r="A38" s="981" t="s">
        <v>206</v>
      </c>
      <c r="B38" s="981" t="s">
        <v>51</v>
      </c>
      <c r="C38" s="981" t="s">
        <v>299</v>
      </c>
      <c r="D38" s="981"/>
      <c r="E38" s="981">
        <v>12</v>
      </c>
      <c r="F38" s="981"/>
      <c r="G38" s="981">
        <v>12</v>
      </c>
    </row>
    <row r="39" spans="1:7" x14ac:dyDescent="0.25">
      <c r="A39" s="981" t="s">
        <v>206</v>
      </c>
      <c r="B39" s="981" t="s">
        <v>52</v>
      </c>
      <c r="C39" s="981" t="s">
        <v>300</v>
      </c>
      <c r="D39" s="981">
        <v>1</v>
      </c>
      <c r="E39" s="981">
        <v>10</v>
      </c>
      <c r="F39" s="981">
        <v>3</v>
      </c>
      <c r="G39" s="981">
        <v>14</v>
      </c>
    </row>
    <row r="40" spans="1:7" x14ac:dyDescent="0.25">
      <c r="A40" s="981" t="s">
        <v>206</v>
      </c>
      <c r="B40" s="981" t="s">
        <v>53</v>
      </c>
      <c r="C40" s="981" t="s">
        <v>310</v>
      </c>
      <c r="D40" s="981">
        <v>3</v>
      </c>
      <c r="E40" s="981"/>
      <c r="F40" s="981"/>
      <c r="G40" s="981">
        <v>3</v>
      </c>
    </row>
    <row r="41" spans="1:7" x14ac:dyDescent="0.25">
      <c r="A41" s="981" t="s">
        <v>206</v>
      </c>
      <c r="B41" s="981" t="s">
        <v>54</v>
      </c>
      <c r="C41" s="981" t="s">
        <v>301</v>
      </c>
      <c r="D41" s="981">
        <v>2</v>
      </c>
      <c r="E41" s="981">
        <v>11</v>
      </c>
      <c r="F41" s="981"/>
      <c r="G41" s="981">
        <v>13</v>
      </c>
    </row>
    <row r="42" spans="1:7" x14ac:dyDescent="0.25">
      <c r="A42" s="981" t="s">
        <v>206</v>
      </c>
      <c r="B42" s="981" t="s">
        <v>55</v>
      </c>
      <c r="C42" s="981" t="s">
        <v>302</v>
      </c>
      <c r="D42" s="981"/>
      <c r="E42" s="981">
        <v>14</v>
      </c>
      <c r="F42" s="981"/>
      <c r="G42" s="981">
        <v>14</v>
      </c>
    </row>
    <row r="43" spans="1:7" x14ac:dyDescent="0.25">
      <c r="A43" s="981" t="s">
        <v>206</v>
      </c>
      <c r="B43" s="981" t="s">
        <v>56</v>
      </c>
      <c r="C43" s="981" t="s">
        <v>303</v>
      </c>
      <c r="D43" s="981">
        <v>1</v>
      </c>
      <c r="E43" s="981">
        <v>4</v>
      </c>
      <c r="F43" s="981"/>
      <c r="G43" s="981">
        <v>5</v>
      </c>
    </row>
    <row r="44" spans="1:7" x14ac:dyDescent="0.25">
      <c r="A44" s="981" t="s">
        <v>206</v>
      </c>
      <c r="B44" s="981" t="s">
        <v>57</v>
      </c>
      <c r="C44" s="981" t="s">
        <v>304</v>
      </c>
      <c r="D44" s="981">
        <v>4</v>
      </c>
      <c r="E44" s="981">
        <v>7</v>
      </c>
      <c r="F44" s="981">
        <v>1</v>
      </c>
      <c r="G44" s="981">
        <v>12</v>
      </c>
    </row>
    <row r="45" spans="1:7" x14ac:dyDescent="0.25">
      <c r="A45" s="981" t="s">
        <v>206</v>
      </c>
      <c r="B45" s="981" t="s">
        <v>58</v>
      </c>
      <c r="C45" s="981" t="s">
        <v>305</v>
      </c>
      <c r="D45" s="981">
        <v>1</v>
      </c>
      <c r="E45" s="981">
        <v>9</v>
      </c>
      <c r="F45" s="981"/>
      <c r="G45" s="981">
        <v>10</v>
      </c>
    </row>
    <row r="46" spans="1:7" x14ac:dyDescent="0.25">
      <c r="A46" s="981" t="s">
        <v>206</v>
      </c>
      <c r="B46" s="981" t="s">
        <v>59</v>
      </c>
      <c r="C46" s="981" t="s">
        <v>311</v>
      </c>
      <c r="D46" s="981">
        <v>2</v>
      </c>
      <c r="E46" s="981">
        <v>1</v>
      </c>
      <c r="F46" s="981"/>
      <c r="G46" s="981">
        <v>3</v>
      </c>
    </row>
    <row r="47" spans="1:7" x14ac:dyDescent="0.25">
      <c r="A47" s="981" t="s">
        <v>206</v>
      </c>
      <c r="B47" s="981" t="s">
        <v>60</v>
      </c>
      <c r="C47" s="981" t="s">
        <v>312</v>
      </c>
      <c r="D47" s="981">
        <v>2</v>
      </c>
      <c r="E47" s="981">
        <v>4</v>
      </c>
      <c r="F47" s="981"/>
      <c r="G47" s="981">
        <v>6</v>
      </c>
    </row>
    <row r="48" spans="1:7" x14ac:dyDescent="0.25">
      <c r="A48" s="981" t="s">
        <v>205</v>
      </c>
      <c r="B48" s="981" t="s">
        <v>31</v>
      </c>
      <c r="C48" s="981" t="s">
        <v>306</v>
      </c>
      <c r="D48" s="981">
        <v>3</v>
      </c>
      <c r="E48" s="981">
        <v>1</v>
      </c>
      <c r="F48" s="981"/>
      <c r="G48" s="981">
        <v>4</v>
      </c>
    </row>
    <row r="49" spans="1:7" x14ac:dyDescent="0.25">
      <c r="A49" s="981" t="s">
        <v>205</v>
      </c>
      <c r="B49" s="981" t="s">
        <v>32</v>
      </c>
      <c r="C49" s="981" t="s">
        <v>307</v>
      </c>
      <c r="D49" s="981">
        <v>1</v>
      </c>
      <c r="E49" s="981">
        <v>23</v>
      </c>
      <c r="F49" s="981"/>
      <c r="G49" s="981">
        <v>24</v>
      </c>
    </row>
    <row r="50" spans="1:7" x14ac:dyDescent="0.25">
      <c r="A50" s="981" t="s">
        <v>205</v>
      </c>
      <c r="B50" s="981" t="s">
        <v>33</v>
      </c>
      <c r="C50" s="981" t="s">
        <v>313</v>
      </c>
      <c r="D50" s="981">
        <v>1</v>
      </c>
      <c r="E50" s="981">
        <v>5</v>
      </c>
      <c r="F50" s="981"/>
      <c r="G50" s="981">
        <v>6</v>
      </c>
    </row>
    <row r="51" spans="1:7" x14ac:dyDescent="0.25">
      <c r="A51" s="981" t="s">
        <v>205</v>
      </c>
      <c r="B51" s="981" t="s">
        <v>34</v>
      </c>
      <c r="C51" s="981" t="s">
        <v>308</v>
      </c>
      <c r="D51" s="981">
        <v>2</v>
      </c>
      <c r="E51" s="981">
        <v>12</v>
      </c>
      <c r="F51" s="981">
        <v>25</v>
      </c>
      <c r="G51" s="981">
        <v>39</v>
      </c>
    </row>
    <row r="52" spans="1:7" x14ac:dyDescent="0.25">
      <c r="A52" s="981" t="s">
        <v>205</v>
      </c>
      <c r="B52" s="981" t="s">
        <v>262</v>
      </c>
      <c r="C52" s="981" t="s">
        <v>309</v>
      </c>
      <c r="D52" s="981">
        <v>7</v>
      </c>
      <c r="E52" s="981">
        <v>1</v>
      </c>
      <c r="F52" s="981"/>
      <c r="G52" s="981">
        <v>8</v>
      </c>
    </row>
    <row r="53" spans="1:7" x14ac:dyDescent="0.25">
      <c r="A53" s="981" t="s">
        <v>205</v>
      </c>
      <c r="B53" s="981" t="s">
        <v>35</v>
      </c>
      <c r="C53" s="981" t="s">
        <v>287</v>
      </c>
      <c r="D53" s="981">
        <v>1</v>
      </c>
      <c r="E53" s="981">
        <v>1</v>
      </c>
      <c r="F53" s="981"/>
      <c r="G53" s="981">
        <v>2</v>
      </c>
    </row>
    <row r="54" spans="1:7" x14ac:dyDescent="0.25">
      <c r="A54" s="981" t="s">
        <v>205</v>
      </c>
      <c r="B54" s="981" t="s">
        <v>36</v>
      </c>
      <c r="C54" s="981" t="s">
        <v>288</v>
      </c>
      <c r="D54" s="981">
        <v>1</v>
      </c>
      <c r="E54" s="981">
        <v>15</v>
      </c>
      <c r="F54" s="981">
        <v>1</v>
      </c>
      <c r="G54" s="981">
        <v>17</v>
      </c>
    </row>
    <row r="55" spans="1:7" x14ac:dyDescent="0.25">
      <c r="A55" s="981" t="s">
        <v>205</v>
      </c>
      <c r="B55" s="981" t="s">
        <v>37</v>
      </c>
      <c r="C55" s="981" t="s">
        <v>314</v>
      </c>
      <c r="D55" s="981">
        <v>4</v>
      </c>
      <c r="E55" s="981"/>
      <c r="F55" s="981"/>
      <c r="G55" s="981">
        <v>4</v>
      </c>
    </row>
    <row r="56" spans="1:7" x14ac:dyDescent="0.25">
      <c r="A56" s="981" t="s">
        <v>205</v>
      </c>
      <c r="B56" s="981" t="s">
        <v>38</v>
      </c>
      <c r="C56" s="981" t="s">
        <v>289</v>
      </c>
      <c r="D56" s="981">
        <v>1</v>
      </c>
      <c r="E56" s="981">
        <v>7</v>
      </c>
      <c r="F56" s="981"/>
      <c r="G56" s="981">
        <v>8</v>
      </c>
    </row>
    <row r="57" spans="1:7" x14ac:dyDescent="0.25">
      <c r="A57" s="981" t="s">
        <v>205</v>
      </c>
      <c r="B57" s="981" t="s">
        <v>39</v>
      </c>
      <c r="C57" s="981" t="s">
        <v>316</v>
      </c>
      <c r="D57" s="981">
        <v>3</v>
      </c>
      <c r="E57" s="981"/>
      <c r="F57" s="981"/>
      <c r="G57" s="981">
        <v>3</v>
      </c>
    </row>
    <row r="58" spans="1:7" x14ac:dyDescent="0.25">
      <c r="A58" s="981" t="s">
        <v>205</v>
      </c>
      <c r="B58" s="981" t="s">
        <v>40</v>
      </c>
      <c r="C58" s="981" t="s">
        <v>290</v>
      </c>
      <c r="D58" s="981">
        <v>1</v>
      </c>
      <c r="E58" s="981">
        <v>5</v>
      </c>
      <c r="F58" s="981"/>
      <c r="G58" s="981">
        <v>6</v>
      </c>
    </row>
    <row r="59" spans="1:7" x14ac:dyDescent="0.25">
      <c r="A59" s="981" t="s">
        <v>205</v>
      </c>
      <c r="B59" s="981" t="s">
        <v>41</v>
      </c>
      <c r="C59" s="981" t="s">
        <v>291</v>
      </c>
      <c r="D59" s="981">
        <v>2</v>
      </c>
      <c r="E59" s="981"/>
      <c r="F59" s="981"/>
      <c r="G59" s="981">
        <v>2</v>
      </c>
    </row>
    <row r="60" spans="1:7" x14ac:dyDescent="0.25">
      <c r="A60" s="981" t="s">
        <v>205</v>
      </c>
      <c r="B60" s="981" t="s">
        <v>42</v>
      </c>
      <c r="C60" s="981" t="s">
        <v>293</v>
      </c>
      <c r="D60" s="981">
        <v>3</v>
      </c>
      <c r="E60" s="981">
        <v>2</v>
      </c>
      <c r="F60" s="981"/>
      <c r="G60" s="981">
        <v>5</v>
      </c>
    </row>
    <row r="61" spans="1:7" x14ac:dyDescent="0.25">
      <c r="A61" s="981" t="s">
        <v>205</v>
      </c>
      <c r="B61" s="981" t="s">
        <v>43</v>
      </c>
      <c r="C61" s="981" t="s">
        <v>318</v>
      </c>
      <c r="D61" s="981">
        <v>5</v>
      </c>
      <c r="E61" s="981">
        <v>8</v>
      </c>
      <c r="F61" s="981"/>
      <c r="G61" s="981">
        <v>13</v>
      </c>
    </row>
    <row r="62" spans="1:7" x14ac:dyDescent="0.25">
      <c r="A62" s="981" t="s">
        <v>205</v>
      </c>
      <c r="B62" s="981" t="s">
        <v>124</v>
      </c>
      <c r="C62" s="981" t="s">
        <v>317</v>
      </c>
      <c r="D62" s="981">
        <v>11</v>
      </c>
      <c r="E62" s="981"/>
      <c r="F62" s="981"/>
      <c r="G62" s="981">
        <v>11</v>
      </c>
    </row>
    <row r="63" spans="1:7" x14ac:dyDescent="0.25">
      <c r="A63" s="981" t="s">
        <v>205</v>
      </c>
      <c r="B63" s="981" t="s">
        <v>44</v>
      </c>
      <c r="C63" s="981" t="s">
        <v>294</v>
      </c>
      <c r="D63" s="981">
        <v>1</v>
      </c>
      <c r="E63" s="981">
        <v>51</v>
      </c>
      <c r="F63" s="981">
        <v>9</v>
      </c>
      <c r="G63" s="981">
        <v>61</v>
      </c>
    </row>
    <row r="64" spans="1:7" x14ac:dyDescent="0.25">
      <c r="A64" s="981" t="s">
        <v>205</v>
      </c>
      <c r="B64" s="981" t="s">
        <v>45</v>
      </c>
      <c r="C64" s="981" t="s">
        <v>295</v>
      </c>
      <c r="D64" s="981">
        <v>2</v>
      </c>
      <c r="E64" s="981">
        <v>1</v>
      </c>
      <c r="F64" s="981"/>
      <c r="G64" s="981">
        <v>3</v>
      </c>
    </row>
    <row r="65" spans="1:7" x14ac:dyDescent="0.25">
      <c r="A65" s="981" t="s">
        <v>205</v>
      </c>
      <c r="B65" s="981" t="s">
        <v>46</v>
      </c>
      <c r="C65" s="981" t="s">
        <v>296</v>
      </c>
      <c r="D65" s="981">
        <v>1</v>
      </c>
      <c r="E65" s="981">
        <v>1</v>
      </c>
      <c r="F65" s="981"/>
      <c r="G65" s="981">
        <v>2</v>
      </c>
    </row>
    <row r="66" spans="1:7" x14ac:dyDescent="0.25">
      <c r="A66" s="981" t="s">
        <v>205</v>
      </c>
      <c r="B66" s="981" t="s">
        <v>47</v>
      </c>
      <c r="C66" s="981" t="s">
        <v>297</v>
      </c>
      <c r="D66" s="981">
        <v>1</v>
      </c>
      <c r="E66" s="981">
        <v>10</v>
      </c>
      <c r="F66" s="981"/>
      <c r="G66" s="981">
        <v>11</v>
      </c>
    </row>
    <row r="67" spans="1:7" x14ac:dyDescent="0.25">
      <c r="A67" s="981" t="s">
        <v>205</v>
      </c>
      <c r="B67" s="981" t="s">
        <v>48</v>
      </c>
      <c r="C67" s="981" t="s">
        <v>292</v>
      </c>
      <c r="D67" s="981"/>
      <c r="E67" s="981">
        <v>14</v>
      </c>
      <c r="F67" s="981"/>
      <c r="G67" s="981">
        <v>14</v>
      </c>
    </row>
    <row r="68" spans="1:7" x14ac:dyDescent="0.25">
      <c r="A68" s="981" t="s">
        <v>205</v>
      </c>
      <c r="B68" s="981" t="s">
        <v>49</v>
      </c>
      <c r="C68" s="981" t="s">
        <v>298</v>
      </c>
      <c r="D68" s="981">
        <v>3</v>
      </c>
      <c r="E68" s="981">
        <v>8</v>
      </c>
      <c r="F68" s="981">
        <v>3</v>
      </c>
      <c r="G68" s="981">
        <v>14</v>
      </c>
    </row>
    <row r="69" spans="1:7" x14ac:dyDescent="0.25">
      <c r="A69" s="981" t="s">
        <v>205</v>
      </c>
      <c r="B69" s="981" t="s">
        <v>50</v>
      </c>
      <c r="C69" s="981" t="s">
        <v>315</v>
      </c>
      <c r="D69" s="981">
        <v>4</v>
      </c>
      <c r="E69" s="981">
        <v>3</v>
      </c>
      <c r="F69" s="981"/>
      <c r="G69" s="981">
        <v>7</v>
      </c>
    </row>
    <row r="70" spans="1:7" x14ac:dyDescent="0.25">
      <c r="A70" s="981" t="s">
        <v>205</v>
      </c>
      <c r="B70" s="981" t="s">
        <v>51</v>
      </c>
      <c r="C70" s="981" t="s">
        <v>299</v>
      </c>
      <c r="D70" s="981"/>
      <c r="E70" s="981">
        <v>12</v>
      </c>
      <c r="F70" s="981"/>
      <c r="G70" s="981">
        <v>12</v>
      </c>
    </row>
    <row r="71" spans="1:7" x14ac:dyDescent="0.25">
      <c r="A71" s="981" t="s">
        <v>205</v>
      </c>
      <c r="B71" s="981" t="s">
        <v>52</v>
      </c>
      <c r="C71" s="981" t="s">
        <v>300</v>
      </c>
      <c r="D71" s="981">
        <v>1</v>
      </c>
      <c r="E71" s="981">
        <v>10</v>
      </c>
      <c r="F71" s="981">
        <v>3</v>
      </c>
      <c r="G71" s="981">
        <v>14</v>
      </c>
    </row>
    <row r="72" spans="1:7" x14ac:dyDescent="0.25">
      <c r="A72" s="981" t="s">
        <v>205</v>
      </c>
      <c r="B72" s="981" t="s">
        <v>53</v>
      </c>
      <c r="C72" s="981" t="s">
        <v>310</v>
      </c>
      <c r="D72" s="981">
        <v>3</v>
      </c>
      <c r="E72" s="981"/>
      <c r="F72" s="981"/>
      <c r="G72" s="981">
        <v>3</v>
      </c>
    </row>
    <row r="73" spans="1:7" x14ac:dyDescent="0.25">
      <c r="A73" s="981" t="s">
        <v>205</v>
      </c>
      <c r="B73" s="981" t="s">
        <v>54</v>
      </c>
      <c r="C73" s="981" t="s">
        <v>301</v>
      </c>
      <c r="D73" s="981">
        <v>2</v>
      </c>
      <c r="E73" s="981">
        <v>11</v>
      </c>
      <c r="F73" s="981"/>
      <c r="G73" s="981">
        <v>13</v>
      </c>
    </row>
    <row r="74" spans="1:7" x14ac:dyDescent="0.25">
      <c r="A74" s="981" t="s">
        <v>205</v>
      </c>
      <c r="B74" s="981" t="s">
        <v>55</v>
      </c>
      <c r="C74" s="981" t="s">
        <v>302</v>
      </c>
      <c r="D74" s="981"/>
      <c r="E74" s="981">
        <v>14</v>
      </c>
      <c r="F74" s="981"/>
      <c r="G74" s="981">
        <v>14</v>
      </c>
    </row>
    <row r="75" spans="1:7" x14ac:dyDescent="0.25">
      <c r="A75" s="981" t="s">
        <v>205</v>
      </c>
      <c r="B75" s="981" t="s">
        <v>56</v>
      </c>
      <c r="C75" s="981" t="s">
        <v>303</v>
      </c>
      <c r="D75" s="981">
        <v>1</v>
      </c>
      <c r="E75" s="981">
        <v>4</v>
      </c>
      <c r="F75" s="981"/>
      <c r="G75" s="981">
        <v>5</v>
      </c>
    </row>
    <row r="76" spans="1:7" x14ac:dyDescent="0.25">
      <c r="A76" s="981" t="s">
        <v>205</v>
      </c>
      <c r="B76" s="981" t="s">
        <v>57</v>
      </c>
      <c r="C76" s="981" t="s">
        <v>304</v>
      </c>
      <c r="D76" s="981">
        <v>4</v>
      </c>
      <c r="E76" s="981">
        <v>7</v>
      </c>
      <c r="F76" s="981">
        <v>1</v>
      </c>
      <c r="G76" s="981">
        <v>12</v>
      </c>
    </row>
    <row r="77" spans="1:7" x14ac:dyDescent="0.25">
      <c r="A77" s="981" t="s">
        <v>205</v>
      </c>
      <c r="B77" s="981" t="s">
        <v>58</v>
      </c>
      <c r="C77" s="981" t="s">
        <v>305</v>
      </c>
      <c r="D77" s="981">
        <v>1</v>
      </c>
      <c r="E77" s="981">
        <v>9</v>
      </c>
      <c r="F77" s="981"/>
      <c r="G77" s="981">
        <v>10</v>
      </c>
    </row>
    <row r="78" spans="1:7" x14ac:dyDescent="0.25">
      <c r="A78" s="981" t="s">
        <v>205</v>
      </c>
      <c r="B78" s="981" t="s">
        <v>59</v>
      </c>
      <c r="C78" s="981" t="s">
        <v>311</v>
      </c>
      <c r="D78" s="981">
        <v>2</v>
      </c>
      <c r="E78" s="981">
        <v>1</v>
      </c>
      <c r="F78" s="981"/>
      <c r="G78" s="981">
        <v>3</v>
      </c>
    </row>
    <row r="79" spans="1:7" x14ac:dyDescent="0.25">
      <c r="A79" s="981" t="s">
        <v>205</v>
      </c>
      <c r="B79" s="981" t="s">
        <v>60</v>
      </c>
      <c r="C79" s="981" t="s">
        <v>312</v>
      </c>
      <c r="D79" s="981">
        <v>2</v>
      </c>
      <c r="E79" s="981">
        <v>4</v>
      </c>
      <c r="F79" s="981"/>
      <c r="G79" s="981">
        <v>6</v>
      </c>
    </row>
    <row r="80" spans="1:7" x14ac:dyDescent="0.25">
      <c r="A80" s="981" t="s">
        <v>278</v>
      </c>
      <c r="B80" s="981" t="s">
        <v>31</v>
      </c>
      <c r="C80" s="981" t="s">
        <v>306</v>
      </c>
      <c r="D80" s="981">
        <v>3</v>
      </c>
      <c r="E80" s="981">
        <v>1</v>
      </c>
      <c r="F80" s="981"/>
      <c r="G80" s="981">
        <v>4</v>
      </c>
    </row>
    <row r="81" spans="1:7" x14ac:dyDescent="0.25">
      <c r="A81" s="981" t="s">
        <v>278</v>
      </c>
      <c r="B81" s="981" t="s">
        <v>32</v>
      </c>
      <c r="C81" s="981" t="s">
        <v>307</v>
      </c>
      <c r="D81" s="981">
        <v>1</v>
      </c>
      <c r="E81" s="981">
        <v>23</v>
      </c>
      <c r="F81" s="981"/>
      <c r="G81" s="981">
        <v>24</v>
      </c>
    </row>
    <row r="82" spans="1:7" x14ac:dyDescent="0.25">
      <c r="A82" s="981" t="s">
        <v>278</v>
      </c>
      <c r="B82" s="981" t="s">
        <v>33</v>
      </c>
      <c r="C82" s="981" t="s">
        <v>313</v>
      </c>
      <c r="D82" s="981">
        <v>1</v>
      </c>
      <c r="E82" s="981">
        <v>5</v>
      </c>
      <c r="F82" s="981"/>
      <c r="G82" s="981">
        <v>6</v>
      </c>
    </row>
    <row r="83" spans="1:7" x14ac:dyDescent="0.25">
      <c r="A83" s="981" t="s">
        <v>278</v>
      </c>
      <c r="B83" s="981" t="s">
        <v>34</v>
      </c>
      <c r="C83" s="981" t="s">
        <v>308</v>
      </c>
      <c r="D83" s="981">
        <v>2</v>
      </c>
      <c r="E83" s="981">
        <v>12</v>
      </c>
      <c r="F83" s="981">
        <v>25</v>
      </c>
      <c r="G83" s="981">
        <v>39</v>
      </c>
    </row>
    <row r="84" spans="1:7" x14ac:dyDescent="0.25">
      <c r="A84" s="981" t="s">
        <v>278</v>
      </c>
      <c r="B84" s="981" t="s">
        <v>262</v>
      </c>
      <c r="C84" s="981" t="s">
        <v>309</v>
      </c>
      <c r="D84" s="981">
        <v>7</v>
      </c>
      <c r="E84" s="981">
        <v>1</v>
      </c>
      <c r="F84" s="981"/>
      <c r="G84" s="981">
        <v>8</v>
      </c>
    </row>
    <row r="85" spans="1:7" x14ac:dyDescent="0.25">
      <c r="A85" s="981" t="s">
        <v>278</v>
      </c>
      <c r="B85" s="981" t="s">
        <v>35</v>
      </c>
      <c r="C85" s="981" t="s">
        <v>287</v>
      </c>
      <c r="D85" s="981">
        <v>1</v>
      </c>
      <c r="E85" s="981">
        <v>1</v>
      </c>
      <c r="F85" s="981"/>
      <c r="G85" s="981">
        <v>2</v>
      </c>
    </row>
    <row r="86" spans="1:7" x14ac:dyDescent="0.25">
      <c r="A86" s="981" t="s">
        <v>278</v>
      </c>
      <c r="B86" s="981" t="s">
        <v>36</v>
      </c>
      <c r="C86" s="981" t="s">
        <v>288</v>
      </c>
      <c r="D86" s="981">
        <v>1</v>
      </c>
      <c r="E86" s="981">
        <v>15</v>
      </c>
      <c r="F86" s="981">
        <v>1</v>
      </c>
      <c r="G86" s="981">
        <v>17</v>
      </c>
    </row>
    <row r="87" spans="1:7" x14ac:dyDescent="0.25">
      <c r="A87" s="981" t="s">
        <v>278</v>
      </c>
      <c r="B87" s="981" t="s">
        <v>37</v>
      </c>
      <c r="C87" s="981" t="s">
        <v>314</v>
      </c>
      <c r="D87" s="981">
        <v>4</v>
      </c>
      <c r="E87" s="981"/>
      <c r="F87" s="981"/>
      <c r="G87" s="981">
        <v>4</v>
      </c>
    </row>
    <row r="88" spans="1:7" x14ac:dyDescent="0.25">
      <c r="A88" s="981" t="s">
        <v>278</v>
      </c>
      <c r="B88" s="981" t="s">
        <v>38</v>
      </c>
      <c r="C88" s="981" t="s">
        <v>289</v>
      </c>
      <c r="D88" s="981">
        <v>1</v>
      </c>
      <c r="E88" s="981">
        <v>7</v>
      </c>
      <c r="F88" s="981"/>
      <c r="G88" s="981">
        <v>8</v>
      </c>
    </row>
    <row r="89" spans="1:7" x14ac:dyDescent="0.25">
      <c r="A89" s="981" t="s">
        <v>278</v>
      </c>
      <c r="B89" s="981" t="s">
        <v>39</v>
      </c>
      <c r="C89" s="981" t="s">
        <v>316</v>
      </c>
      <c r="D89" s="981">
        <v>3</v>
      </c>
      <c r="E89" s="981"/>
      <c r="F89" s="981"/>
      <c r="G89" s="981">
        <v>3</v>
      </c>
    </row>
    <row r="90" spans="1:7" x14ac:dyDescent="0.25">
      <c r="A90" s="981" t="s">
        <v>278</v>
      </c>
      <c r="B90" s="981" t="s">
        <v>40</v>
      </c>
      <c r="C90" s="981" t="s">
        <v>290</v>
      </c>
      <c r="D90" s="981">
        <v>1</v>
      </c>
      <c r="E90" s="981">
        <v>5</v>
      </c>
      <c r="F90" s="981"/>
      <c r="G90" s="981">
        <v>6</v>
      </c>
    </row>
    <row r="91" spans="1:7" x14ac:dyDescent="0.25">
      <c r="A91" s="981" t="s">
        <v>278</v>
      </c>
      <c r="B91" s="981" t="s">
        <v>41</v>
      </c>
      <c r="C91" s="981" t="s">
        <v>291</v>
      </c>
      <c r="D91" s="981">
        <v>2</v>
      </c>
      <c r="E91" s="981"/>
      <c r="F91" s="981"/>
      <c r="G91" s="981">
        <v>2</v>
      </c>
    </row>
    <row r="92" spans="1:7" x14ac:dyDescent="0.25">
      <c r="A92" s="981" t="s">
        <v>278</v>
      </c>
      <c r="B92" s="981" t="s">
        <v>42</v>
      </c>
      <c r="C92" s="981" t="s">
        <v>293</v>
      </c>
      <c r="D92" s="981">
        <v>3</v>
      </c>
      <c r="E92" s="981">
        <v>2</v>
      </c>
      <c r="F92" s="981"/>
      <c r="G92" s="981">
        <v>5</v>
      </c>
    </row>
    <row r="93" spans="1:7" x14ac:dyDescent="0.25">
      <c r="A93" s="981" t="s">
        <v>278</v>
      </c>
      <c r="B93" s="981" t="s">
        <v>43</v>
      </c>
      <c r="C93" s="981" t="s">
        <v>318</v>
      </c>
      <c r="D93" s="981">
        <v>5</v>
      </c>
      <c r="E93" s="981">
        <v>8</v>
      </c>
      <c r="F93" s="981"/>
      <c r="G93" s="981">
        <v>13</v>
      </c>
    </row>
    <row r="94" spans="1:7" x14ac:dyDescent="0.25">
      <c r="A94" s="981" t="s">
        <v>278</v>
      </c>
      <c r="B94" s="981" t="s">
        <v>124</v>
      </c>
      <c r="C94" s="981" t="s">
        <v>317</v>
      </c>
      <c r="D94" s="981">
        <v>11</v>
      </c>
      <c r="E94" s="981"/>
      <c r="F94" s="981"/>
      <c r="G94" s="981">
        <v>11</v>
      </c>
    </row>
    <row r="95" spans="1:7" x14ac:dyDescent="0.25">
      <c r="A95" s="981" t="s">
        <v>278</v>
      </c>
      <c r="B95" s="981" t="s">
        <v>44</v>
      </c>
      <c r="C95" s="981" t="s">
        <v>294</v>
      </c>
      <c r="D95" s="981">
        <v>1</v>
      </c>
      <c r="E95" s="981">
        <v>51</v>
      </c>
      <c r="F95" s="981">
        <v>9</v>
      </c>
      <c r="G95" s="981">
        <v>61</v>
      </c>
    </row>
    <row r="96" spans="1:7" x14ac:dyDescent="0.25">
      <c r="A96" s="981" t="s">
        <v>278</v>
      </c>
      <c r="B96" s="981" t="s">
        <v>45</v>
      </c>
      <c r="C96" s="981" t="s">
        <v>295</v>
      </c>
      <c r="D96" s="981">
        <v>2</v>
      </c>
      <c r="E96" s="981">
        <v>1</v>
      </c>
      <c r="F96" s="981"/>
      <c r="G96" s="981">
        <v>3</v>
      </c>
    </row>
    <row r="97" spans="1:7" x14ac:dyDescent="0.25">
      <c r="A97" s="981" t="s">
        <v>278</v>
      </c>
      <c r="B97" s="981" t="s">
        <v>46</v>
      </c>
      <c r="C97" s="981" t="s">
        <v>296</v>
      </c>
      <c r="D97" s="981">
        <v>1</v>
      </c>
      <c r="E97" s="981">
        <v>1</v>
      </c>
      <c r="F97" s="981"/>
      <c r="G97" s="981">
        <v>2</v>
      </c>
    </row>
    <row r="98" spans="1:7" x14ac:dyDescent="0.25">
      <c r="A98" s="981" t="s">
        <v>278</v>
      </c>
      <c r="B98" s="981" t="s">
        <v>47</v>
      </c>
      <c r="C98" s="981" t="s">
        <v>297</v>
      </c>
      <c r="D98" s="981">
        <v>1</v>
      </c>
      <c r="E98" s="981">
        <v>10</v>
      </c>
      <c r="F98" s="981"/>
      <c r="G98" s="981">
        <v>11</v>
      </c>
    </row>
    <row r="99" spans="1:7" x14ac:dyDescent="0.25">
      <c r="A99" s="981" t="s">
        <v>278</v>
      </c>
      <c r="B99" s="981" t="s">
        <v>48</v>
      </c>
      <c r="C99" s="981" t="s">
        <v>292</v>
      </c>
      <c r="D99" s="981"/>
      <c r="E99" s="981">
        <v>14</v>
      </c>
      <c r="F99" s="981"/>
      <c r="G99" s="981">
        <v>14</v>
      </c>
    </row>
    <row r="100" spans="1:7" x14ac:dyDescent="0.25">
      <c r="A100" s="981" t="s">
        <v>278</v>
      </c>
      <c r="B100" s="981" t="s">
        <v>49</v>
      </c>
      <c r="C100" s="981" t="s">
        <v>298</v>
      </c>
      <c r="D100" s="981">
        <v>3</v>
      </c>
      <c r="E100" s="981">
        <v>8</v>
      </c>
      <c r="F100" s="981">
        <v>3</v>
      </c>
      <c r="G100" s="981">
        <v>14</v>
      </c>
    </row>
    <row r="101" spans="1:7" x14ac:dyDescent="0.25">
      <c r="A101" s="981" t="s">
        <v>278</v>
      </c>
      <c r="B101" s="981" t="s">
        <v>50</v>
      </c>
      <c r="C101" s="981" t="s">
        <v>315</v>
      </c>
      <c r="D101" s="981">
        <v>4</v>
      </c>
      <c r="E101" s="981">
        <v>3</v>
      </c>
      <c r="F101" s="981"/>
      <c r="G101" s="981">
        <v>7</v>
      </c>
    </row>
    <row r="102" spans="1:7" x14ac:dyDescent="0.25">
      <c r="A102" s="981" t="s">
        <v>278</v>
      </c>
      <c r="B102" s="981" t="s">
        <v>51</v>
      </c>
      <c r="C102" s="981" t="s">
        <v>299</v>
      </c>
      <c r="D102" s="981"/>
      <c r="E102" s="981">
        <v>12</v>
      </c>
      <c r="F102" s="981"/>
      <c r="G102" s="981">
        <v>12</v>
      </c>
    </row>
    <row r="103" spans="1:7" x14ac:dyDescent="0.25">
      <c r="A103" s="981" t="s">
        <v>278</v>
      </c>
      <c r="B103" s="981" t="s">
        <v>52</v>
      </c>
      <c r="C103" s="981" t="s">
        <v>300</v>
      </c>
      <c r="D103" s="981">
        <v>1</v>
      </c>
      <c r="E103" s="981">
        <v>10</v>
      </c>
      <c r="F103" s="981">
        <v>3</v>
      </c>
      <c r="G103" s="981">
        <v>14</v>
      </c>
    </row>
    <row r="104" spans="1:7" x14ac:dyDescent="0.25">
      <c r="A104" s="981" t="s">
        <v>278</v>
      </c>
      <c r="B104" s="981" t="s">
        <v>53</v>
      </c>
      <c r="C104" s="981" t="s">
        <v>310</v>
      </c>
      <c r="D104" s="981">
        <v>3</v>
      </c>
      <c r="E104" s="981"/>
      <c r="F104" s="981"/>
      <c r="G104" s="981">
        <v>3</v>
      </c>
    </row>
    <row r="105" spans="1:7" x14ac:dyDescent="0.25">
      <c r="A105" s="981" t="s">
        <v>278</v>
      </c>
      <c r="B105" s="981" t="s">
        <v>54</v>
      </c>
      <c r="C105" s="981" t="s">
        <v>301</v>
      </c>
      <c r="D105" s="981">
        <v>2</v>
      </c>
      <c r="E105" s="981">
        <v>11</v>
      </c>
      <c r="F105" s="981"/>
      <c r="G105" s="981">
        <v>13</v>
      </c>
    </row>
    <row r="106" spans="1:7" x14ac:dyDescent="0.25">
      <c r="A106" s="981" t="s">
        <v>278</v>
      </c>
      <c r="B106" s="981" t="s">
        <v>55</v>
      </c>
      <c r="C106" s="981" t="s">
        <v>302</v>
      </c>
      <c r="D106" s="981"/>
      <c r="E106" s="981">
        <v>14</v>
      </c>
      <c r="F106" s="981"/>
      <c r="G106" s="981">
        <v>14</v>
      </c>
    </row>
    <row r="107" spans="1:7" x14ac:dyDescent="0.25">
      <c r="A107" s="981" t="s">
        <v>278</v>
      </c>
      <c r="B107" s="981" t="s">
        <v>56</v>
      </c>
      <c r="C107" s="981" t="s">
        <v>303</v>
      </c>
      <c r="D107" s="981">
        <v>1</v>
      </c>
      <c r="E107" s="981">
        <v>4</v>
      </c>
      <c r="F107" s="981"/>
      <c r="G107" s="981">
        <v>5</v>
      </c>
    </row>
    <row r="108" spans="1:7" x14ac:dyDescent="0.25">
      <c r="A108" s="981" t="s">
        <v>278</v>
      </c>
      <c r="B108" s="981" t="s">
        <v>57</v>
      </c>
      <c r="C108" s="981" t="s">
        <v>304</v>
      </c>
      <c r="D108" s="981">
        <v>4</v>
      </c>
      <c r="E108" s="981">
        <v>7</v>
      </c>
      <c r="F108" s="981">
        <v>1</v>
      </c>
      <c r="G108" s="981">
        <v>12</v>
      </c>
    </row>
    <row r="109" spans="1:7" x14ac:dyDescent="0.25">
      <c r="A109" s="981" t="s">
        <v>278</v>
      </c>
      <c r="B109" s="981" t="s">
        <v>58</v>
      </c>
      <c r="C109" s="981" t="s">
        <v>305</v>
      </c>
      <c r="D109" s="981">
        <v>1</v>
      </c>
      <c r="E109" s="981">
        <v>9</v>
      </c>
      <c r="F109" s="981"/>
      <c r="G109" s="981">
        <v>10</v>
      </c>
    </row>
    <row r="110" spans="1:7" x14ac:dyDescent="0.25">
      <c r="A110" s="981" t="s">
        <v>278</v>
      </c>
      <c r="B110" s="981" t="s">
        <v>59</v>
      </c>
      <c r="C110" s="981" t="s">
        <v>311</v>
      </c>
      <c r="D110" s="981">
        <v>2</v>
      </c>
      <c r="E110" s="981">
        <v>1</v>
      </c>
      <c r="F110" s="981"/>
      <c r="G110" s="981">
        <v>3</v>
      </c>
    </row>
    <row r="111" spans="1:7" x14ac:dyDescent="0.25">
      <c r="A111" s="981" t="s">
        <v>278</v>
      </c>
      <c r="B111" s="981" t="s">
        <v>60</v>
      </c>
      <c r="C111" s="981" t="s">
        <v>312</v>
      </c>
      <c r="D111" s="981">
        <v>2</v>
      </c>
      <c r="E111" s="981">
        <v>4</v>
      </c>
      <c r="F111" s="981"/>
      <c r="G111" s="981">
        <v>6</v>
      </c>
    </row>
    <row r="112" spans="1:7" x14ac:dyDescent="0.25">
      <c r="A112" s="981" t="s">
        <v>259</v>
      </c>
      <c r="B112" s="981" t="s">
        <v>31</v>
      </c>
      <c r="C112" s="981" t="s">
        <v>306</v>
      </c>
      <c r="D112" s="981">
        <v>3</v>
      </c>
      <c r="E112" s="981">
        <v>1</v>
      </c>
      <c r="F112" s="981"/>
      <c r="G112" s="981">
        <v>4</v>
      </c>
    </row>
    <row r="113" spans="1:7" x14ac:dyDescent="0.25">
      <c r="A113" s="981" t="s">
        <v>259</v>
      </c>
      <c r="B113" s="981" t="s">
        <v>32</v>
      </c>
      <c r="C113" s="981" t="s">
        <v>307</v>
      </c>
      <c r="D113" s="981">
        <v>1</v>
      </c>
      <c r="E113" s="981">
        <v>23</v>
      </c>
      <c r="F113" s="981"/>
      <c r="G113" s="981">
        <v>24</v>
      </c>
    </row>
    <row r="114" spans="1:7" x14ac:dyDescent="0.25">
      <c r="A114" s="981" t="s">
        <v>259</v>
      </c>
      <c r="B114" s="981" t="s">
        <v>33</v>
      </c>
      <c r="C114" s="981" t="s">
        <v>313</v>
      </c>
      <c r="D114" s="981">
        <v>1</v>
      </c>
      <c r="E114" s="981">
        <v>5</v>
      </c>
      <c r="F114" s="981"/>
      <c r="G114" s="981">
        <v>6</v>
      </c>
    </row>
    <row r="115" spans="1:7" x14ac:dyDescent="0.25">
      <c r="A115" s="981" t="s">
        <v>259</v>
      </c>
      <c r="B115" s="981" t="s">
        <v>34</v>
      </c>
      <c r="C115" s="981" t="s">
        <v>308</v>
      </c>
      <c r="D115" s="981">
        <v>2</v>
      </c>
      <c r="E115" s="981">
        <v>12</v>
      </c>
      <c r="F115" s="981">
        <v>25</v>
      </c>
      <c r="G115" s="981">
        <v>39</v>
      </c>
    </row>
    <row r="116" spans="1:7" x14ac:dyDescent="0.25">
      <c r="A116" s="981" t="s">
        <v>259</v>
      </c>
      <c r="B116" s="981" t="s">
        <v>262</v>
      </c>
      <c r="C116" s="981" t="s">
        <v>309</v>
      </c>
      <c r="D116" s="981">
        <v>7</v>
      </c>
      <c r="E116" s="981">
        <v>1</v>
      </c>
      <c r="F116" s="981"/>
      <c r="G116" s="981">
        <v>8</v>
      </c>
    </row>
    <row r="117" spans="1:7" x14ac:dyDescent="0.25">
      <c r="A117" s="981" t="s">
        <v>259</v>
      </c>
      <c r="B117" s="981" t="s">
        <v>35</v>
      </c>
      <c r="C117" s="981" t="s">
        <v>287</v>
      </c>
      <c r="D117" s="981">
        <v>1</v>
      </c>
      <c r="E117" s="981">
        <v>1</v>
      </c>
      <c r="F117" s="981"/>
      <c r="G117" s="981">
        <v>2</v>
      </c>
    </row>
    <row r="118" spans="1:7" x14ac:dyDescent="0.25">
      <c r="A118" s="981" t="s">
        <v>259</v>
      </c>
      <c r="B118" s="981" t="s">
        <v>36</v>
      </c>
      <c r="C118" s="981" t="s">
        <v>288</v>
      </c>
      <c r="D118" s="981">
        <v>1</v>
      </c>
      <c r="E118" s="981">
        <v>15</v>
      </c>
      <c r="F118" s="981">
        <v>1</v>
      </c>
      <c r="G118" s="981">
        <v>17</v>
      </c>
    </row>
    <row r="119" spans="1:7" x14ac:dyDescent="0.25">
      <c r="A119" s="981" t="s">
        <v>259</v>
      </c>
      <c r="B119" s="981" t="s">
        <v>37</v>
      </c>
      <c r="C119" s="981" t="s">
        <v>314</v>
      </c>
      <c r="D119" s="981">
        <v>4</v>
      </c>
      <c r="E119" s="981"/>
      <c r="F119" s="981"/>
      <c r="G119" s="981">
        <v>4</v>
      </c>
    </row>
    <row r="120" spans="1:7" x14ac:dyDescent="0.25">
      <c r="A120" s="981" t="s">
        <v>259</v>
      </c>
      <c r="B120" s="981" t="s">
        <v>38</v>
      </c>
      <c r="C120" s="981" t="s">
        <v>289</v>
      </c>
      <c r="D120" s="981">
        <v>1</v>
      </c>
      <c r="E120" s="981">
        <v>7</v>
      </c>
      <c r="F120" s="981"/>
      <c r="G120" s="981">
        <v>8</v>
      </c>
    </row>
    <row r="121" spans="1:7" x14ac:dyDescent="0.25">
      <c r="A121" s="981" t="s">
        <v>259</v>
      </c>
      <c r="B121" s="981" t="s">
        <v>39</v>
      </c>
      <c r="C121" s="981" t="s">
        <v>316</v>
      </c>
      <c r="D121" s="981">
        <v>3</v>
      </c>
      <c r="E121" s="981"/>
      <c r="F121" s="981"/>
      <c r="G121" s="981">
        <v>3</v>
      </c>
    </row>
    <row r="122" spans="1:7" x14ac:dyDescent="0.25">
      <c r="A122" s="981" t="s">
        <v>259</v>
      </c>
      <c r="B122" s="981" t="s">
        <v>40</v>
      </c>
      <c r="C122" s="981" t="s">
        <v>290</v>
      </c>
      <c r="D122" s="981">
        <v>1</v>
      </c>
      <c r="E122" s="981">
        <v>5</v>
      </c>
      <c r="F122" s="981"/>
      <c r="G122" s="981">
        <v>6</v>
      </c>
    </row>
    <row r="123" spans="1:7" x14ac:dyDescent="0.25">
      <c r="A123" s="981" t="s">
        <v>259</v>
      </c>
      <c r="B123" s="981" t="s">
        <v>41</v>
      </c>
      <c r="C123" s="981" t="s">
        <v>291</v>
      </c>
      <c r="D123" s="981">
        <v>2</v>
      </c>
      <c r="E123" s="981"/>
      <c r="F123" s="981"/>
      <c r="G123" s="981">
        <v>2</v>
      </c>
    </row>
    <row r="124" spans="1:7" x14ac:dyDescent="0.25">
      <c r="A124" s="981" t="s">
        <v>259</v>
      </c>
      <c r="B124" s="981" t="s">
        <v>42</v>
      </c>
      <c r="C124" s="981" t="s">
        <v>293</v>
      </c>
      <c r="D124" s="981">
        <v>3</v>
      </c>
      <c r="E124" s="981">
        <v>2</v>
      </c>
      <c r="F124" s="981"/>
      <c r="G124" s="981">
        <v>5</v>
      </c>
    </row>
    <row r="125" spans="1:7" x14ac:dyDescent="0.25">
      <c r="A125" s="981" t="s">
        <v>259</v>
      </c>
      <c r="B125" s="981" t="s">
        <v>43</v>
      </c>
      <c r="C125" s="981" t="s">
        <v>318</v>
      </c>
      <c r="D125" s="981">
        <v>5</v>
      </c>
      <c r="E125" s="981">
        <v>8</v>
      </c>
      <c r="F125" s="981"/>
      <c r="G125" s="981">
        <v>13</v>
      </c>
    </row>
    <row r="126" spans="1:7" x14ac:dyDescent="0.25">
      <c r="A126" s="981" t="s">
        <v>259</v>
      </c>
      <c r="B126" s="981" t="s">
        <v>124</v>
      </c>
      <c r="C126" s="981" t="s">
        <v>317</v>
      </c>
      <c r="D126" s="981">
        <v>11</v>
      </c>
      <c r="E126" s="981"/>
      <c r="F126" s="981"/>
      <c r="G126" s="981">
        <v>11</v>
      </c>
    </row>
    <row r="127" spans="1:7" x14ac:dyDescent="0.25">
      <c r="A127" s="981" t="s">
        <v>259</v>
      </c>
      <c r="B127" s="981" t="s">
        <v>44</v>
      </c>
      <c r="C127" s="981" t="s">
        <v>294</v>
      </c>
      <c r="D127" s="981">
        <v>1</v>
      </c>
      <c r="E127" s="981">
        <v>51</v>
      </c>
      <c r="F127" s="981">
        <v>9</v>
      </c>
      <c r="G127" s="981">
        <v>61</v>
      </c>
    </row>
    <row r="128" spans="1:7" x14ac:dyDescent="0.25">
      <c r="A128" s="981" t="s">
        <v>259</v>
      </c>
      <c r="B128" s="981" t="s">
        <v>45</v>
      </c>
      <c r="C128" s="981" t="s">
        <v>295</v>
      </c>
      <c r="D128" s="981">
        <v>2</v>
      </c>
      <c r="E128" s="981">
        <v>1</v>
      </c>
      <c r="F128" s="981"/>
      <c r="G128" s="981">
        <v>3</v>
      </c>
    </row>
    <row r="129" spans="1:7" x14ac:dyDescent="0.25">
      <c r="A129" s="981" t="s">
        <v>259</v>
      </c>
      <c r="B129" s="981" t="s">
        <v>46</v>
      </c>
      <c r="C129" s="981" t="s">
        <v>296</v>
      </c>
      <c r="D129" s="981">
        <v>1</v>
      </c>
      <c r="E129" s="981">
        <v>1</v>
      </c>
      <c r="F129" s="981"/>
      <c r="G129" s="981">
        <v>2</v>
      </c>
    </row>
    <row r="130" spans="1:7" x14ac:dyDescent="0.25">
      <c r="A130" s="981" t="s">
        <v>259</v>
      </c>
      <c r="B130" s="981" t="s">
        <v>47</v>
      </c>
      <c r="C130" s="981" t="s">
        <v>297</v>
      </c>
      <c r="D130" s="981">
        <v>1</v>
      </c>
      <c r="E130" s="981">
        <v>10</v>
      </c>
      <c r="F130" s="981"/>
      <c r="G130" s="981">
        <v>11</v>
      </c>
    </row>
    <row r="131" spans="1:7" x14ac:dyDescent="0.25">
      <c r="A131" s="981" t="s">
        <v>259</v>
      </c>
      <c r="B131" s="981" t="s">
        <v>48</v>
      </c>
      <c r="C131" s="981" t="s">
        <v>292</v>
      </c>
      <c r="D131" s="981"/>
      <c r="E131" s="981">
        <v>14</v>
      </c>
      <c r="F131" s="981"/>
      <c r="G131" s="981">
        <v>14</v>
      </c>
    </row>
    <row r="132" spans="1:7" x14ac:dyDescent="0.25">
      <c r="A132" s="981" t="s">
        <v>259</v>
      </c>
      <c r="B132" s="981" t="s">
        <v>49</v>
      </c>
      <c r="C132" s="981" t="s">
        <v>298</v>
      </c>
      <c r="D132" s="981">
        <v>3</v>
      </c>
      <c r="E132" s="981">
        <v>8</v>
      </c>
      <c r="F132" s="981">
        <v>3</v>
      </c>
      <c r="G132" s="981">
        <v>14</v>
      </c>
    </row>
    <row r="133" spans="1:7" x14ac:dyDescent="0.25">
      <c r="A133" s="981" t="s">
        <v>259</v>
      </c>
      <c r="B133" s="981" t="s">
        <v>50</v>
      </c>
      <c r="C133" s="981" t="s">
        <v>315</v>
      </c>
      <c r="D133" s="981">
        <v>4</v>
      </c>
      <c r="E133" s="981">
        <v>3</v>
      </c>
      <c r="F133" s="981"/>
      <c r="G133" s="981">
        <v>7</v>
      </c>
    </row>
    <row r="134" spans="1:7" x14ac:dyDescent="0.25">
      <c r="A134" s="981" t="s">
        <v>259</v>
      </c>
      <c r="B134" s="981" t="s">
        <v>51</v>
      </c>
      <c r="C134" s="981" t="s">
        <v>299</v>
      </c>
      <c r="D134" s="981"/>
      <c r="E134" s="981">
        <v>12</v>
      </c>
      <c r="F134" s="981"/>
      <c r="G134" s="981">
        <v>12</v>
      </c>
    </row>
    <row r="135" spans="1:7" x14ac:dyDescent="0.25">
      <c r="A135" s="981" t="s">
        <v>259</v>
      </c>
      <c r="B135" s="981" t="s">
        <v>52</v>
      </c>
      <c r="C135" s="981" t="s">
        <v>300</v>
      </c>
      <c r="D135" s="981">
        <v>1</v>
      </c>
      <c r="E135" s="981">
        <v>10</v>
      </c>
      <c r="F135" s="981">
        <v>3</v>
      </c>
      <c r="G135" s="981">
        <v>14</v>
      </c>
    </row>
    <row r="136" spans="1:7" x14ac:dyDescent="0.25">
      <c r="A136" s="981" t="s">
        <v>259</v>
      </c>
      <c r="B136" s="981" t="s">
        <v>53</v>
      </c>
      <c r="C136" s="981" t="s">
        <v>310</v>
      </c>
      <c r="D136" s="981">
        <v>3</v>
      </c>
      <c r="E136" s="981"/>
      <c r="F136" s="981"/>
      <c r="G136" s="981">
        <v>3</v>
      </c>
    </row>
    <row r="137" spans="1:7" x14ac:dyDescent="0.25">
      <c r="A137" s="981" t="s">
        <v>259</v>
      </c>
      <c r="B137" s="981" t="s">
        <v>54</v>
      </c>
      <c r="C137" s="981" t="s">
        <v>301</v>
      </c>
      <c r="D137" s="981">
        <v>2</v>
      </c>
      <c r="E137" s="981">
        <v>11</v>
      </c>
      <c r="F137" s="981"/>
      <c r="G137" s="981">
        <v>13</v>
      </c>
    </row>
    <row r="138" spans="1:7" x14ac:dyDescent="0.25">
      <c r="A138" s="981" t="s">
        <v>259</v>
      </c>
      <c r="B138" s="981" t="s">
        <v>55</v>
      </c>
      <c r="C138" s="981" t="s">
        <v>302</v>
      </c>
      <c r="D138" s="981"/>
      <c r="E138" s="981">
        <v>14</v>
      </c>
      <c r="F138" s="981"/>
      <c r="G138" s="981">
        <v>14</v>
      </c>
    </row>
    <row r="139" spans="1:7" x14ac:dyDescent="0.25">
      <c r="A139" s="981" t="s">
        <v>259</v>
      </c>
      <c r="B139" s="981" t="s">
        <v>56</v>
      </c>
      <c r="C139" s="981" t="s">
        <v>303</v>
      </c>
      <c r="D139" s="981">
        <v>1</v>
      </c>
      <c r="E139" s="981">
        <v>4</v>
      </c>
      <c r="F139" s="981"/>
      <c r="G139" s="981">
        <v>5</v>
      </c>
    </row>
    <row r="140" spans="1:7" x14ac:dyDescent="0.25">
      <c r="A140" s="981" t="s">
        <v>259</v>
      </c>
      <c r="B140" s="981" t="s">
        <v>57</v>
      </c>
      <c r="C140" s="981" t="s">
        <v>304</v>
      </c>
      <c r="D140" s="981">
        <v>4</v>
      </c>
      <c r="E140" s="981">
        <v>7</v>
      </c>
      <c r="F140" s="981">
        <v>1</v>
      </c>
      <c r="G140" s="981">
        <v>12</v>
      </c>
    </row>
    <row r="141" spans="1:7" x14ac:dyDescent="0.25">
      <c r="A141" s="981" t="s">
        <v>259</v>
      </c>
      <c r="B141" s="981" t="s">
        <v>58</v>
      </c>
      <c r="C141" s="981" t="s">
        <v>305</v>
      </c>
      <c r="D141" s="981">
        <v>1</v>
      </c>
      <c r="E141" s="981">
        <v>9</v>
      </c>
      <c r="F141" s="981"/>
      <c r="G141" s="981">
        <v>10</v>
      </c>
    </row>
    <row r="142" spans="1:7" x14ac:dyDescent="0.25">
      <c r="A142" s="981" t="s">
        <v>259</v>
      </c>
      <c r="B142" s="981" t="s">
        <v>59</v>
      </c>
      <c r="C142" s="981" t="s">
        <v>311</v>
      </c>
      <c r="D142" s="981">
        <v>2</v>
      </c>
      <c r="E142" s="981">
        <v>1</v>
      </c>
      <c r="F142" s="981"/>
      <c r="G142" s="981">
        <v>3</v>
      </c>
    </row>
    <row r="143" spans="1:7" x14ac:dyDescent="0.25">
      <c r="A143" s="981" t="s">
        <v>259</v>
      </c>
      <c r="B143" s="981" t="s">
        <v>60</v>
      </c>
      <c r="C143" s="981" t="s">
        <v>312</v>
      </c>
      <c r="D143" s="981">
        <v>2</v>
      </c>
      <c r="E143" s="981">
        <v>4</v>
      </c>
      <c r="F143" s="981"/>
      <c r="G143" s="981">
        <v>6</v>
      </c>
    </row>
    <row r="144" spans="1:7" x14ac:dyDescent="0.25">
      <c r="A144" s="981" t="s">
        <v>258</v>
      </c>
      <c r="B144" s="981" t="s">
        <v>31</v>
      </c>
      <c r="C144" s="981" t="s">
        <v>306</v>
      </c>
      <c r="D144" s="981">
        <v>3</v>
      </c>
      <c r="E144" s="981">
        <v>1</v>
      </c>
      <c r="F144" s="981"/>
      <c r="G144" s="981">
        <v>4</v>
      </c>
    </row>
    <row r="145" spans="1:7" x14ac:dyDescent="0.25">
      <c r="A145" s="981" t="s">
        <v>258</v>
      </c>
      <c r="B145" s="981" t="s">
        <v>32</v>
      </c>
      <c r="C145" s="981" t="s">
        <v>307</v>
      </c>
      <c r="D145" s="981">
        <v>1</v>
      </c>
      <c r="E145" s="981">
        <v>23</v>
      </c>
      <c r="F145" s="981"/>
      <c r="G145" s="981">
        <v>24</v>
      </c>
    </row>
    <row r="146" spans="1:7" x14ac:dyDescent="0.25">
      <c r="A146" s="981" t="s">
        <v>258</v>
      </c>
      <c r="B146" s="981" t="s">
        <v>33</v>
      </c>
      <c r="C146" s="981" t="s">
        <v>313</v>
      </c>
      <c r="D146" s="981">
        <v>1</v>
      </c>
      <c r="E146" s="981">
        <v>5</v>
      </c>
      <c r="F146" s="981"/>
      <c r="G146" s="981">
        <v>6</v>
      </c>
    </row>
    <row r="147" spans="1:7" x14ac:dyDescent="0.25">
      <c r="A147" s="981" t="s">
        <v>258</v>
      </c>
      <c r="B147" s="981" t="s">
        <v>34</v>
      </c>
      <c r="C147" s="981" t="s">
        <v>308</v>
      </c>
      <c r="D147" s="981">
        <v>2</v>
      </c>
      <c r="E147" s="981">
        <v>12</v>
      </c>
      <c r="F147" s="981">
        <v>25</v>
      </c>
      <c r="G147" s="981">
        <v>39</v>
      </c>
    </row>
    <row r="148" spans="1:7" x14ac:dyDescent="0.25">
      <c r="A148" s="981" t="s">
        <v>258</v>
      </c>
      <c r="B148" s="981" t="s">
        <v>262</v>
      </c>
      <c r="C148" s="981" t="s">
        <v>309</v>
      </c>
      <c r="D148" s="981">
        <v>7</v>
      </c>
      <c r="E148" s="981">
        <v>1</v>
      </c>
      <c r="F148" s="981"/>
      <c r="G148" s="981">
        <v>8</v>
      </c>
    </row>
    <row r="149" spans="1:7" x14ac:dyDescent="0.25">
      <c r="A149" s="981" t="s">
        <v>258</v>
      </c>
      <c r="B149" s="981" t="s">
        <v>35</v>
      </c>
      <c r="C149" s="981" t="s">
        <v>287</v>
      </c>
      <c r="D149" s="981">
        <v>1</v>
      </c>
      <c r="E149" s="981">
        <v>1</v>
      </c>
      <c r="F149" s="981"/>
      <c r="G149" s="981">
        <v>2</v>
      </c>
    </row>
    <row r="150" spans="1:7" x14ac:dyDescent="0.25">
      <c r="A150" s="981" t="s">
        <v>258</v>
      </c>
      <c r="B150" s="981" t="s">
        <v>36</v>
      </c>
      <c r="C150" s="981" t="s">
        <v>288</v>
      </c>
      <c r="D150" s="981">
        <v>1</v>
      </c>
      <c r="E150" s="981">
        <v>15</v>
      </c>
      <c r="F150" s="981">
        <v>1</v>
      </c>
      <c r="G150" s="981">
        <v>17</v>
      </c>
    </row>
    <row r="151" spans="1:7" x14ac:dyDescent="0.25">
      <c r="A151" s="981" t="s">
        <v>258</v>
      </c>
      <c r="B151" s="981" t="s">
        <v>37</v>
      </c>
      <c r="C151" s="981" t="s">
        <v>314</v>
      </c>
      <c r="D151" s="981">
        <v>4</v>
      </c>
      <c r="E151" s="981"/>
      <c r="F151" s="981"/>
      <c r="G151" s="981">
        <v>4</v>
      </c>
    </row>
    <row r="152" spans="1:7" x14ac:dyDescent="0.25">
      <c r="A152" s="981" t="s">
        <v>258</v>
      </c>
      <c r="B152" s="981" t="s">
        <v>38</v>
      </c>
      <c r="C152" s="981" t="s">
        <v>289</v>
      </c>
      <c r="D152" s="981">
        <v>1</v>
      </c>
      <c r="E152" s="981">
        <v>7</v>
      </c>
      <c r="F152" s="981"/>
      <c r="G152" s="981">
        <v>8</v>
      </c>
    </row>
    <row r="153" spans="1:7" x14ac:dyDescent="0.25">
      <c r="A153" s="981" t="s">
        <v>258</v>
      </c>
      <c r="B153" s="981" t="s">
        <v>39</v>
      </c>
      <c r="C153" s="981" t="s">
        <v>316</v>
      </c>
      <c r="D153" s="981">
        <v>3</v>
      </c>
      <c r="E153" s="981"/>
      <c r="F153" s="981"/>
      <c r="G153" s="981">
        <v>3</v>
      </c>
    </row>
    <row r="154" spans="1:7" x14ac:dyDescent="0.25">
      <c r="A154" s="981" t="s">
        <v>258</v>
      </c>
      <c r="B154" s="981" t="s">
        <v>40</v>
      </c>
      <c r="C154" s="981" t="s">
        <v>290</v>
      </c>
      <c r="D154" s="981">
        <v>1</v>
      </c>
      <c r="E154" s="981">
        <v>5</v>
      </c>
      <c r="F154" s="981"/>
      <c r="G154" s="981">
        <v>6</v>
      </c>
    </row>
    <row r="155" spans="1:7" x14ac:dyDescent="0.25">
      <c r="A155" s="981" t="s">
        <v>258</v>
      </c>
      <c r="B155" s="981" t="s">
        <v>41</v>
      </c>
      <c r="C155" s="981" t="s">
        <v>291</v>
      </c>
      <c r="D155" s="981">
        <v>2</v>
      </c>
      <c r="E155" s="981"/>
      <c r="F155" s="981"/>
      <c r="G155" s="981">
        <v>2</v>
      </c>
    </row>
    <row r="156" spans="1:7" x14ac:dyDescent="0.25">
      <c r="A156" s="981" t="s">
        <v>258</v>
      </c>
      <c r="B156" s="981" t="s">
        <v>42</v>
      </c>
      <c r="C156" s="981" t="s">
        <v>293</v>
      </c>
      <c r="D156" s="981">
        <v>3</v>
      </c>
      <c r="E156" s="981">
        <v>2</v>
      </c>
      <c r="F156" s="981"/>
      <c r="G156" s="981">
        <v>5</v>
      </c>
    </row>
    <row r="157" spans="1:7" x14ac:dyDescent="0.25">
      <c r="A157" s="981" t="s">
        <v>258</v>
      </c>
      <c r="B157" s="981" t="s">
        <v>43</v>
      </c>
      <c r="C157" s="981" t="s">
        <v>318</v>
      </c>
      <c r="D157" s="981">
        <v>5</v>
      </c>
      <c r="E157" s="981">
        <v>8</v>
      </c>
      <c r="F157" s="981"/>
      <c r="G157" s="981">
        <v>13</v>
      </c>
    </row>
    <row r="158" spans="1:7" x14ac:dyDescent="0.25">
      <c r="A158" s="981" t="s">
        <v>258</v>
      </c>
      <c r="B158" s="981" t="s">
        <v>124</v>
      </c>
      <c r="C158" s="981" t="s">
        <v>317</v>
      </c>
      <c r="D158" s="981">
        <v>11</v>
      </c>
      <c r="E158" s="981"/>
      <c r="F158" s="981"/>
      <c r="G158" s="981">
        <v>11</v>
      </c>
    </row>
    <row r="159" spans="1:7" x14ac:dyDescent="0.25">
      <c r="A159" s="981" t="s">
        <v>258</v>
      </c>
      <c r="B159" s="981" t="s">
        <v>44</v>
      </c>
      <c r="C159" s="981" t="s">
        <v>294</v>
      </c>
      <c r="D159" s="981">
        <v>1</v>
      </c>
      <c r="E159" s="981">
        <v>51</v>
      </c>
      <c r="F159" s="981">
        <v>9</v>
      </c>
      <c r="G159" s="981">
        <v>61</v>
      </c>
    </row>
    <row r="160" spans="1:7" x14ac:dyDescent="0.25">
      <c r="A160" s="981" t="s">
        <v>258</v>
      </c>
      <c r="B160" s="981" t="s">
        <v>45</v>
      </c>
      <c r="C160" s="981" t="s">
        <v>295</v>
      </c>
      <c r="D160" s="981">
        <v>2</v>
      </c>
      <c r="E160" s="981">
        <v>1</v>
      </c>
      <c r="F160" s="981"/>
      <c r="G160" s="981">
        <v>3</v>
      </c>
    </row>
    <row r="161" spans="1:7" x14ac:dyDescent="0.25">
      <c r="A161" s="981" t="s">
        <v>258</v>
      </c>
      <c r="B161" s="981" t="s">
        <v>46</v>
      </c>
      <c r="C161" s="981" t="s">
        <v>296</v>
      </c>
      <c r="D161" s="981">
        <v>1</v>
      </c>
      <c r="E161" s="981">
        <v>1</v>
      </c>
      <c r="F161" s="981"/>
      <c r="G161" s="981">
        <v>2</v>
      </c>
    </row>
    <row r="162" spans="1:7" x14ac:dyDescent="0.25">
      <c r="A162" s="981" t="s">
        <v>258</v>
      </c>
      <c r="B162" s="981" t="s">
        <v>47</v>
      </c>
      <c r="C162" s="981" t="s">
        <v>297</v>
      </c>
      <c r="D162" s="981">
        <v>1</v>
      </c>
      <c r="E162" s="981">
        <v>10</v>
      </c>
      <c r="F162" s="981"/>
      <c r="G162" s="981">
        <v>11</v>
      </c>
    </row>
    <row r="163" spans="1:7" x14ac:dyDescent="0.25">
      <c r="A163" s="981" t="s">
        <v>258</v>
      </c>
      <c r="B163" s="981" t="s">
        <v>48</v>
      </c>
      <c r="C163" s="981" t="s">
        <v>292</v>
      </c>
      <c r="D163" s="981"/>
      <c r="E163" s="981">
        <v>14</v>
      </c>
      <c r="F163" s="981"/>
      <c r="G163" s="981">
        <v>14</v>
      </c>
    </row>
    <row r="164" spans="1:7" x14ac:dyDescent="0.25">
      <c r="A164" s="981" t="s">
        <v>258</v>
      </c>
      <c r="B164" s="981" t="s">
        <v>49</v>
      </c>
      <c r="C164" s="981" t="s">
        <v>298</v>
      </c>
      <c r="D164" s="981">
        <v>3</v>
      </c>
      <c r="E164" s="981">
        <v>8</v>
      </c>
      <c r="F164" s="981">
        <v>3</v>
      </c>
      <c r="G164" s="981">
        <v>14</v>
      </c>
    </row>
    <row r="165" spans="1:7" x14ac:dyDescent="0.25">
      <c r="A165" s="981" t="s">
        <v>258</v>
      </c>
      <c r="B165" s="981" t="s">
        <v>50</v>
      </c>
      <c r="C165" s="981" t="s">
        <v>315</v>
      </c>
      <c r="D165" s="981">
        <v>4</v>
      </c>
      <c r="E165" s="981">
        <v>3</v>
      </c>
      <c r="F165" s="981"/>
      <c r="G165" s="981">
        <v>7</v>
      </c>
    </row>
    <row r="166" spans="1:7" x14ac:dyDescent="0.25">
      <c r="A166" s="981" t="s">
        <v>258</v>
      </c>
      <c r="B166" s="981" t="s">
        <v>51</v>
      </c>
      <c r="C166" s="981" t="s">
        <v>299</v>
      </c>
      <c r="D166" s="981"/>
      <c r="E166" s="981">
        <v>12</v>
      </c>
      <c r="F166" s="981"/>
      <c r="G166" s="981">
        <v>12</v>
      </c>
    </row>
    <row r="167" spans="1:7" x14ac:dyDescent="0.25">
      <c r="A167" s="981" t="s">
        <v>258</v>
      </c>
      <c r="B167" s="981" t="s">
        <v>52</v>
      </c>
      <c r="C167" s="981" t="s">
        <v>300</v>
      </c>
      <c r="D167" s="981">
        <v>1</v>
      </c>
      <c r="E167" s="981">
        <v>10</v>
      </c>
      <c r="F167" s="981">
        <v>3</v>
      </c>
      <c r="G167" s="981">
        <v>14</v>
      </c>
    </row>
    <row r="168" spans="1:7" x14ac:dyDescent="0.25">
      <c r="A168" s="981" t="s">
        <v>258</v>
      </c>
      <c r="B168" s="981" t="s">
        <v>53</v>
      </c>
      <c r="C168" s="981" t="s">
        <v>310</v>
      </c>
      <c r="D168" s="981">
        <v>3</v>
      </c>
      <c r="E168" s="981"/>
      <c r="F168" s="981"/>
      <c r="G168" s="981">
        <v>3</v>
      </c>
    </row>
    <row r="169" spans="1:7" x14ac:dyDescent="0.25">
      <c r="A169" s="981" t="s">
        <v>258</v>
      </c>
      <c r="B169" s="981" t="s">
        <v>54</v>
      </c>
      <c r="C169" s="981" t="s">
        <v>301</v>
      </c>
      <c r="D169" s="981">
        <v>2</v>
      </c>
      <c r="E169" s="981">
        <v>11</v>
      </c>
      <c r="F169" s="981"/>
      <c r="G169" s="981">
        <v>13</v>
      </c>
    </row>
    <row r="170" spans="1:7" x14ac:dyDescent="0.25">
      <c r="A170" s="981" t="s">
        <v>258</v>
      </c>
      <c r="B170" s="981" t="s">
        <v>55</v>
      </c>
      <c r="C170" s="981" t="s">
        <v>302</v>
      </c>
      <c r="D170" s="981"/>
      <c r="E170" s="981">
        <v>14</v>
      </c>
      <c r="F170" s="981"/>
      <c r="G170" s="981">
        <v>14</v>
      </c>
    </row>
    <row r="171" spans="1:7" x14ac:dyDescent="0.25">
      <c r="A171" s="981" t="s">
        <v>258</v>
      </c>
      <c r="B171" s="981" t="s">
        <v>56</v>
      </c>
      <c r="C171" s="981" t="s">
        <v>303</v>
      </c>
      <c r="D171" s="981">
        <v>1</v>
      </c>
      <c r="E171" s="981">
        <v>4</v>
      </c>
      <c r="F171" s="981"/>
      <c r="G171" s="981">
        <v>5</v>
      </c>
    </row>
    <row r="172" spans="1:7" x14ac:dyDescent="0.25">
      <c r="A172" s="981" t="s">
        <v>258</v>
      </c>
      <c r="B172" s="981" t="s">
        <v>57</v>
      </c>
      <c r="C172" s="981" t="s">
        <v>304</v>
      </c>
      <c r="D172" s="981">
        <v>4</v>
      </c>
      <c r="E172" s="981">
        <v>7</v>
      </c>
      <c r="F172" s="981">
        <v>1</v>
      </c>
      <c r="G172" s="981">
        <v>12</v>
      </c>
    </row>
    <row r="173" spans="1:7" x14ac:dyDescent="0.25">
      <c r="A173" s="981" t="s">
        <v>258</v>
      </c>
      <c r="B173" s="981" t="s">
        <v>58</v>
      </c>
      <c r="C173" s="981" t="s">
        <v>305</v>
      </c>
      <c r="D173" s="981">
        <v>1</v>
      </c>
      <c r="E173" s="981">
        <v>9</v>
      </c>
      <c r="F173" s="981"/>
      <c r="G173" s="981">
        <v>10</v>
      </c>
    </row>
    <row r="174" spans="1:7" x14ac:dyDescent="0.25">
      <c r="A174" s="981" t="s">
        <v>258</v>
      </c>
      <c r="B174" s="981" t="s">
        <v>59</v>
      </c>
      <c r="C174" s="981" t="s">
        <v>311</v>
      </c>
      <c r="D174" s="981">
        <v>2</v>
      </c>
      <c r="E174" s="981">
        <v>1</v>
      </c>
      <c r="F174" s="981"/>
      <c r="G174" s="981">
        <v>3</v>
      </c>
    </row>
    <row r="175" spans="1:7" x14ac:dyDescent="0.25">
      <c r="A175" s="981" t="s">
        <v>258</v>
      </c>
      <c r="B175" s="981" t="s">
        <v>60</v>
      </c>
      <c r="C175" s="981" t="s">
        <v>312</v>
      </c>
      <c r="D175" s="981">
        <v>2</v>
      </c>
      <c r="E175" s="981">
        <v>4</v>
      </c>
      <c r="F175" s="981"/>
      <c r="G175" s="981">
        <v>6</v>
      </c>
    </row>
  </sheetData>
  <pageMargins left="0.7" right="0.7" top="0.75" bottom="0.75" header="0.3" footer="0.3"/>
  <pageSetup paperSize="9" fitToHeight="50"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4:I57"/>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7" x14ac:dyDescent="0.25">
      <c r="A4" s="980" t="s">
        <v>334</v>
      </c>
      <c r="B4" s="980" t="s">
        <v>976</v>
      </c>
      <c r="C4" s="980" t="s">
        <v>198</v>
      </c>
      <c r="D4" s="980" t="s">
        <v>29</v>
      </c>
      <c r="E4" s="980" t="s">
        <v>122</v>
      </c>
      <c r="F4" s="980" t="s">
        <v>394</v>
      </c>
      <c r="G4" s="980" t="s">
        <v>393</v>
      </c>
    </row>
    <row r="5" spans="1:7" x14ac:dyDescent="0.25">
      <c r="A5" s="981" t="s">
        <v>258</v>
      </c>
      <c r="B5" s="981">
        <v>356</v>
      </c>
      <c r="C5" s="981">
        <v>240</v>
      </c>
      <c r="D5" s="981">
        <v>42</v>
      </c>
      <c r="E5" s="981">
        <v>50</v>
      </c>
      <c r="F5" s="981">
        <v>1</v>
      </c>
      <c r="G5" s="981">
        <v>23</v>
      </c>
    </row>
    <row r="25" spans="1:9" x14ac:dyDescent="0.25">
      <c r="A25" s="983" t="s">
        <v>334</v>
      </c>
      <c r="B25" s="983" t="s">
        <v>883</v>
      </c>
      <c r="C25" s="983" t="s">
        <v>884</v>
      </c>
      <c r="D25" s="983" t="s">
        <v>26</v>
      </c>
      <c r="E25" s="983" t="s">
        <v>198</v>
      </c>
      <c r="F25" s="983" t="s">
        <v>29</v>
      </c>
      <c r="G25" s="983" t="s">
        <v>122</v>
      </c>
      <c r="H25" s="983" t="s">
        <v>394</v>
      </c>
      <c r="I25" s="983" t="s">
        <v>393</v>
      </c>
    </row>
    <row r="26" spans="1:9" x14ac:dyDescent="0.25">
      <c r="A26" s="981" t="s">
        <v>258</v>
      </c>
      <c r="B26" s="981" t="s">
        <v>31</v>
      </c>
      <c r="C26" s="981" t="s">
        <v>306</v>
      </c>
      <c r="D26" s="981">
        <v>4</v>
      </c>
      <c r="E26" s="981">
        <v>1</v>
      </c>
      <c r="F26" s="981"/>
      <c r="G26" s="981">
        <v>3</v>
      </c>
      <c r="H26" s="981"/>
      <c r="I26" s="981"/>
    </row>
    <row r="27" spans="1:9" x14ac:dyDescent="0.25">
      <c r="A27" s="981" t="s">
        <v>258</v>
      </c>
      <c r="B27" s="981" t="s">
        <v>32</v>
      </c>
      <c r="C27" s="981" t="s">
        <v>307</v>
      </c>
      <c r="D27" s="981">
        <v>24</v>
      </c>
      <c r="E27" s="981">
        <v>23</v>
      </c>
      <c r="F27" s="981"/>
      <c r="G27" s="981"/>
      <c r="H27" s="981"/>
      <c r="I27" s="981">
        <v>1</v>
      </c>
    </row>
    <row r="28" spans="1:9" x14ac:dyDescent="0.25">
      <c r="A28" s="981" t="s">
        <v>258</v>
      </c>
      <c r="B28" s="981" t="s">
        <v>33</v>
      </c>
      <c r="C28" s="981" t="s">
        <v>313</v>
      </c>
      <c r="D28" s="981">
        <v>6</v>
      </c>
      <c r="E28" s="981">
        <v>5</v>
      </c>
      <c r="F28" s="981"/>
      <c r="G28" s="981"/>
      <c r="H28" s="981"/>
      <c r="I28" s="981">
        <v>1</v>
      </c>
    </row>
    <row r="29" spans="1:9" x14ac:dyDescent="0.25">
      <c r="A29" s="981" t="s">
        <v>258</v>
      </c>
      <c r="B29" s="981" t="s">
        <v>34</v>
      </c>
      <c r="C29" s="981" t="s">
        <v>308</v>
      </c>
      <c r="D29" s="981">
        <v>39</v>
      </c>
      <c r="E29" s="981">
        <v>12</v>
      </c>
      <c r="F29" s="981">
        <v>25</v>
      </c>
      <c r="G29" s="981"/>
      <c r="H29" s="981"/>
      <c r="I29" s="981">
        <v>2</v>
      </c>
    </row>
    <row r="30" spans="1:9" x14ac:dyDescent="0.25">
      <c r="A30" s="981" t="s">
        <v>258</v>
      </c>
      <c r="B30" s="981" t="s">
        <v>262</v>
      </c>
      <c r="C30" s="981" t="s">
        <v>309</v>
      </c>
      <c r="D30" s="981">
        <v>8</v>
      </c>
      <c r="E30" s="981">
        <v>1</v>
      </c>
      <c r="F30" s="981"/>
      <c r="G30" s="981">
        <v>7</v>
      </c>
      <c r="H30" s="981"/>
      <c r="I30" s="981"/>
    </row>
    <row r="31" spans="1:9" x14ac:dyDescent="0.25">
      <c r="A31" s="981" t="s">
        <v>258</v>
      </c>
      <c r="B31" s="981" t="s">
        <v>35</v>
      </c>
      <c r="C31" s="981" t="s">
        <v>287</v>
      </c>
      <c r="D31" s="981">
        <v>2</v>
      </c>
      <c r="E31" s="981">
        <v>1</v>
      </c>
      <c r="F31" s="981"/>
      <c r="G31" s="981"/>
      <c r="H31" s="981"/>
      <c r="I31" s="981">
        <v>1</v>
      </c>
    </row>
    <row r="32" spans="1:9" x14ac:dyDescent="0.25">
      <c r="A32" s="981" t="s">
        <v>258</v>
      </c>
      <c r="B32" s="981" t="s">
        <v>36</v>
      </c>
      <c r="C32" s="981" t="s">
        <v>288</v>
      </c>
      <c r="D32" s="981">
        <v>17</v>
      </c>
      <c r="E32" s="981">
        <v>15</v>
      </c>
      <c r="F32" s="981">
        <v>1</v>
      </c>
      <c r="G32" s="981"/>
      <c r="H32" s="981"/>
      <c r="I32" s="981">
        <v>1</v>
      </c>
    </row>
    <row r="33" spans="1:9" x14ac:dyDescent="0.25">
      <c r="A33" s="981" t="s">
        <v>258</v>
      </c>
      <c r="B33" s="981" t="s">
        <v>37</v>
      </c>
      <c r="C33" s="981" t="s">
        <v>314</v>
      </c>
      <c r="D33" s="981">
        <v>4</v>
      </c>
      <c r="E33" s="981"/>
      <c r="F33" s="981"/>
      <c r="G33" s="981">
        <v>3</v>
      </c>
      <c r="H33" s="981"/>
      <c r="I33" s="981">
        <v>1</v>
      </c>
    </row>
    <row r="34" spans="1:9" x14ac:dyDescent="0.25">
      <c r="A34" s="981" t="s">
        <v>258</v>
      </c>
      <c r="B34" s="981" t="s">
        <v>38</v>
      </c>
      <c r="C34" s="981" t="s">
        <v>289</v>
      </c>
      <c r="D34" s="981">
        <v>8</v>
      </c>
      <c r="E34" s="981">
        <v>7</v>
      </c>
      <c r="F34" s="981"/>
      <c r="G34" s="981">
        <v>1</v>
      </c>
      <c r="H34" s="981"/>
      <c r="I34" s="981"/>
    </row>
    <row r="35" spans="1:9" x14ac:dyDescent="0.25">
      <c r="A35" s="981" t="s">
        <v>258</v>
      </c>
      <c r="B35" s="981" t="s">
        <v>39</v>
      </c>
      <c r="C35" s="981" t="s">
        <v>316</v>
      </c>
      <c r="D35" s="981">
        <v>3</v>
      </c>
      <c r="E35" s="981"/>
      <c r="F35" s="981"/>
      <c r="G35" s="981">
        <v>3</v>
      </c>
      <c r="H35" s="981"/>
      <c r="I35" s="981"/>
    </row>
    <row r="36" spans="1:9" x14ac:dyDescent="0.25">
      <c r="A36" s="981" t="s">
        <v>258</v>
      </c>
      <c r="B36" s="981" t="s">
        <v>40</v>
      </c>
      <c r="C36" s="981" t="s">
        <v>290</v>
      </c>
      <c r="D36" s="981">
        <v>6</v>
      </c>
      <c r="E36" s="981">
        <v>5</v>
      </c>
      <c r="F36" s="981"/>
      <c r="G36" s="981">
        <v>1</v>
      </c>
      <c r="H36" s="981"/>
      <c r="I36" s="981"/>
    </row>
    <row r="37" spans="1:9" x14ac:dyDescent="0.25">
      <c r="A37" s="981" t="s">
        <v>258</v>
      </c>
      <c r="B37" s="981" t="s">
        <v>41</v>
      </c>
      <c r="C37" s="981" t="s">
        <v>291</v>
      </c>
      <c r="D37" s="981">
        <v>2</v>
      </c>
      <c r="E37" s="981"/>
      <c r="F37" s="981"/>
      <c r="G37" s="981">
        <v>2</v>
      </c>
      <c r="H37" s="981"/>
      <c r="I37" s="981"/>
    </row>
    <row r="38" spans="1:9" x14ac:dyDescent="0.25">
      <c r="A38" s="981" t="s">
        <v>258</v>
      </c>
      <c r="B38" s="981" t="s">
        <v>42</v>
      </c>
      <c r="C38" s="981" t="s">
        <v>293</v>
      </c>
      <c r="D38" s="981">
        <v>5</v>
      </c>
      <c r="E38" s="981">
        <v>2</v>
      </c>
      <c r="F38" s="981"/>
      <c r="G38" s="981"/>
      <c r="H38" s="981"/>
      <c r="I38" s="981">
        <v>3</v>
      </c>
    </row>
    <row r="39" spans="1:9" x14ac:dyDescent="0.25">
      <c r="A39" s="981" t="s">
        <v>258</v>
      </c>
      <c r="B39" s="981" t="s">
        <v>43</v>
      </c>
      <c r="C39" s="981" t="s">
        <v>318</v>
      </c>
      <c r="D39" s="981">
        <v>13</v>
      </c>
      <c r="E39" s="981">
        <v>8</v>
      </c>
      <c r="F39" s="981"/>
      <c r="G39" s="981">
        <v>5</v>
      </c>
      <c r="H39" s="981"/>
      <c r="I39" s="981"/>
    </row>
    <row r="40" spans="1:9" x14ac:dyDescent="0.25">
      <c r="A40" s="981" t="s">
        <v>258</v>
      </c>
      <c r="B40" s="981" t="s">
        <v>124</v>
      </c>
      <c r="C40" s="981" t="s">
        <v>317</v>
      </c>
      <c r="D40" s="981">
        <v>11</v>
      </c>
      <c r="E40" s="981"/>
      <c r="F40" s="981"/>
      <c r="G40" s="981">
        <v>11</v>
      </c>
      <c r="H40" s="981"/>
      <c r="I40" s="981"/>
    </row>
    <row r="41" spans="1:9" x14ac:dyDescent="0.25">
      <c r="A41" s="981" t="s">
        <v>258</v>
      </c>
      <c r="B41" s="981" t="s">
        <v>44</v>
      </c>
      <c r="C41" s="981" t="s">
        <v>294</v>
      </c>
      <c r="D41" s="981">
        <v>61</v>
      </c>
      <c r="E41" s="981">
        <v>51</v>
      </c>
      <c r="F41" s="981">
        <v>9</v>
      </c>
      <c r="G41" s="981"/>
      <c r="H41" s="981"/>
      <c r="I41" s="981">
        <v>1</v>
      </c>
    </row>
    <row r="42" spans="1:9" x14ac:dyDescent="0.25">
      <c r="A42" s="981" t="s">
        <v>258</v>
      </c>
      <c r="B42" s="981" t="s">
        <v>45</v>
      </c>
      <c r="C42" s="981" t="s">
        <v>295</v>
      </c>
      <c r="D42" s="981">
        <v>3</v>
      </c>
      <c r="E42" s="981">
        <v>1</v>
      </c>
      <c r="F42" s="981"/>
      <c r="G42" s="981"/>
      <c r="H42" s="981"/>
      <c r="I42" s="981">
        <v>2</v>
      </c>
    </row>
    <row r="43" spans="1:9" x14ac:dyDescent="0.25">
      <c r="A43" s="981" t="s">
        <v>258</v>
      </c>
      <c r="B43" s="981" t="s">
        <v>46</v>
      </c>
      <c r="C43" s="981" t="s">
        <v>296</v>
      </c>
      <c r="D43" s="981">
        <v>2</v>
      </c>
      <c r="E43" s="981">
        <v>1</v>
      </c>
      <c r="F43" s="981"/>
      <c r="G43" s="981">
        <v>1</v>
      </c>
      <c r="H43" s="981"/>
      <c r="I43" s="981"/>
    </row>
    <row r="44" spans="1:9" x14ac:dyDescent="0.25">
      <c r="A44" s="981" t="s">
        <v>258</v>
      </c>
      <c r="B44" s="981" t="s">
        <v>47</v>
      </c>
      <c r="C44" s="981" t="s">
        <v>297</v>
      </c>
      <c r="D44" s="981">
        <v>11</v>
      </c>
      <c r="E44" s="981">
        <v>10</v>
      </c>
      <c r="F44" s="981"/>
      <c r="G44" s="981"/>
      <c r="H44" s="981"/>
      <c r="I44" s="981">
        <v>1</v>
      </c>
    </row>
    <row r="45" spans="1:9" x14ac:dyDescent="0.25">
      <c r="A45" s="981" t="s">
        <v>258</v>
      </c>
      <c r="B45" s="981" t="s">
        <v>48</v>
      </c>
      <c r="C45" s="981" t="s">
        <v>292</v>
      </c>
      <c r="D45" s="981">
        <v>14</v>
      </c>
      <c r="E45" s="981">
        <v>14</v>
      </c>
      <c r="F45" s="981"/>
      <c r="G45" s="981"/>
      <c r="H45" s="981"/>
      <c r="I45" s="981"/>
    </row>
    <row r="46" spans="1:9" x14ac:dyDescent="0.25">
      <c r="A46" s="981" t="s">
        <v>258</v>
      </c>
      <c r="B46" s="981" t="s">
        <v>49</v>
      </c>
      <c r="C46" s="981" t="s">
        <v>298</v>
      </c>
      <c r="D46" s="981">
        <v>14</v>
      </c>
      <c r="E46" s="981">
        <v>8</v>
      </c>
      <c r="F46" s="981">
        <v>3</v>
      </c>
      <c r="G46" s="981">
        <v>1</v>
      </c>
      <c r="H46" s="981"/>
      <c r="I46" s="981">
        <v>2</v>
      </c>
    </row>
    <row r="47" spans="1:9" x14ac:dyDescent="0.25">
      <c r="A47" s="981" t="s">
        <v>258</v>
      </c>
      <c r="B47" s="981" t="s">
        <v>50</v>
      </c>
      <c r="C47" s="981" t="s">
        <v>315</v>
      </c>
      <c r="D47" s="981">
        <v>7</v>
      </c>
      <c r="E47" s="981">
        <v>3</v>
      </c>
      <c r="F47" s="981"/>
      <c r="G47" s="981">
        <v>4</v>
      </c>
      <c r="H47" s="981"/>
      <c r="I47" s="981"/>
    </row>
    <row r="48" spans="1:9" x14ac:dyDescent="0.25">
      <c r="A48" s="981" t="s">
        <v>258</v>
      </c>
      <c r="B48" s="981" t="s">
        <v>51</v>
      </c>
      <c r="C48" s="981" t="s">
        <v>299</v>
      </c>
      <c r="D48" s="981">
        <v>12</v>
      </c>
      <c r="E48" s="981">
        <v>12</v>
      </c>
      <c r="F48" s="981"/>
      <c r="G48" s="981"/>
      <c r="H48" s="981"/>
      <c r="I48" s="981"/>
    </row>
    <row r="49" spans="1:9" x14ac:dyDescent="0.25">
      <c r="A49" s="981" t="s">
        <v>258</v>
      </c>
      <c r="B49" s="981" t="s">
        <v>52</v>
      </c>
      <c r="C49" s="981" t="s">
        <v>300</v>
      </c>
      <c r="D49" s="981">
        <v>14</v>
      </c>
      <c r="E49" s="981">
        <v>10</v>
      </c>
      <c r="F49" s="981">
        <v>3</v>
      </c>
      <c r="G49" s="981">
        <v>1</v>
      </c>
      <c r="H49" s="981"/>
      <c r="I49" s="981"/>
    </row>
    <row r="50" spans="1:9" x14ac:dyDescent="0.25">
      <c r="A50" s="981" t="s">
        <v>258</v>
      </c>
      <c r="B50" s="981" t="s">
        <v>53</v>
      </c>
      <c r="C50" s="981" t="s">
        <v>310</v>
      </c>
      <c r="D50" s="981">
        <v>3</v>
      </c>
      <c r="E50" s="981"/>
      <c r="F50" s="981"/>
      <c r="G50" s="981">
        <v>2</v>
      </c>
      <c r="H50" s="981"/>
      <c r="I50" s="981">
        <v>1</v>
      </c>
    </row>
    <row r="51" spans="1:9" x14ac:dyDescent="0.25">
      <c r="A51" s="981" t="s">
        <v>258</v>
      </c>
      <c r="B51" s="981" t="s">
        <v>54</v>
      </c>
      <c r="C51" s="981" t="s">
        <v>301</v>
      </c>
      <c r="D51" s="981">
        <v>13</v>
      </c>
      <c r="E51" s="981">
        <v>11</v>
      </c>
      <c r="F51" s="981"/>
      <c r="G51" s="981"/>
      <c r="H51" s="981"/>
      <c r="I51" s="981">
        <v>2</v>
      </c>
    </row>
    <row r="52" spans="1:9" x14ac:dyDescent="0.25">
      <c r="A52" s="981" t="s">
        <v>258</v>
      </c>
      <c r="B52" s="981" t="s">
        <v>55</v>
      </c>
      <c r="C52" s="981" t="s">
        <v>302</v>
      </c>
      <c r="D52" s="981">
        <v>14</v>
      </c>
      <c r="E52" s="981">
        <v>14</v>
      </c>
      <c r="F52" s="981"/>
      <c r="G52" s="981"/>
      <c r="H52" s="981"/>
      <c r="I52" s="981"/>
    </row>
    <row r="53" spans="1:9" x14ac:dyDescent="0.25">
      <c r="A53" s="981" t="s">
        <v>258</v>
      </c>
      <c r="B53" s="981" t="s">
        <v>56</v>
      </c>
      <c r="C53" s="981" t="s">
        <v>303</v>
      </c>
      <c r="D53" s="981">
        <v>5</v>
      </c>
      <c r="E53" s="981">
        <v>4</v>
      </c>
      <c r="F53" s="981"/>
      <c r="G53" s="981"/>
      <c r="H53" s="981"/>
      <c r="I53" s="981">
        <v>1</v>
      </c>
    </row>
    <row r="54" spans="1:9" x14ac:dyDescent="0.25">
      <c r="A54" s="981" t="s">
        <v>258</v>
      </c>
      <c r="B54" s="981" t="s">
        <v>57</v>
      </c>
      <c r="C54" s="981" t="s">
        <v>304</v>
      </c>
      <c r="D54" s="981">
        <v>12</v>
      </c>
      <c r="E54" s="981">
        <v>7</v>
      </c>
      <c r="F54" s="981">
        <v>1</v>
      </c>
      <c r="G54" s="981">
        <v>3</v>
      </c>
      <c r="H54" s="981"/>
      <c r="I54" s="981">
        <v>1</v>
      </c>
    </row>
    <row r="55" spans="1:9" x14ac:dyDescent="0.25">
      <c r="A55" s="981" t="s">
        <v>258</v>
      </c>
      <c r="B55" s="981" t="s">
        <v>58</v>
      </c>
      <c r="C55" s="981" t="s">
        <v>305</v>
      </c>
      <c r="D55" s="981">
        <v>10</v>
      </c>
      <c r="E55" s="981">
        <v>9</v>
      </c>
      <c r="F55" s="981"/>
      <c r="G55" s="981">
        <v>1</v>
      </c>
      <c r="H55" s="981"/>
      <c r="I55" s="981"/>
    </row>
    <row r="56" spans="1:9" x14ac:dyDescent="0.25">
      <c r="A56" s="981" t="s">
        <v>258</v>
      </c>
      <c r="B56" s="981" t="s">
        <v>59</v>
      </c>
      <c r="C56" s="981" t="s">
        <v>311</v>
      </c>
      <c r="D56" s="981">
        <v>3</v>
      </c>
      <c r="E56" s="981">
        <v>1</v>
      </c>
      <c r="F56" s="981"/>
      <c r="G56" s="981">
        <v>1</v>
      </c>
      <c r="H56" s="981"/>
      <c r="I56" s="981">
        <v>1</v>
      </c>
    </row>
    <row r="57" spans="1:9" x14ac:dyDescent="0.25">
      <c r="A57" s="981" t="s">
        <v>258</v>
      </c>
      <c r="B57" s="981" t="s">
        <v>60</v>
      </c>
      <c r="C57" s="981" t="s">
        <v>312</v>
      </c>
      <c r="D57" s="981">
        <v>6</v>
      </c>
      <c r="E57" s="981">
        <v>4</v>
      </c>
      <c r="F57" s="981"/>
      <c r="G57" s="981"/>
      <c r="H57" s="981">
        <v>1</v>
      </c>
      <c r="I57" s="981">
        <v>1</v>
      </c>
    </row>
  </sheetData>
  <pageMargins left="0.7" right="0.7" top="0.75" bottom="0.75" header="0.3" footer="0.3"/>
  <pageSetup paperSize="9" fitToHeight="50"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fitToPage="1"/>
  </sheetPr>
  <dimension ref="A4:H13"/>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8" x14ac:dyDescent="0.25">
      <c r="A4" s="980" t="s">
        <v>977</v>
      </c>
      <c r="B4" s="980" t="s">
        <v>476</v>
      </c>
      <c r="C4" s="980" t="s">
        <v>249</v>
      </c>
      <c r="D4" s="980" t="s">
        <v>978</v>
      </c>
      <c r="E4" s="980" t="s">
        <v>979</v>
      </c>
      <c r="F4" s="980" t="s">
        <v>980</v>
      </c>
      <c r="G4" s="980" t="s">
        <v>981</v>
      </c>
      <c r="H4" s="980" t="s">
        <v>26</v>
      </c>
    </row>
    <row r="5" spans="1:8" x14ac:dyDescent="0.25">
      <c r="A5" s="981" t="s">
        <v>348</v>
      </c>
      <c r="B5" s="981" t="s">
        <v>216</v>
      </c>
      <c r="C5" s="981" t="s">
        <v>330</v>
      </c>
      <c r="D5" s="981">
        <v>0</v>
      </c>
      <c r="E5" s="981">
        <v>0</v>
      </c>
      <c r="F5" s="981">
        <v>0</v>
      </c>
      <c r="G5" s="981">
        <v>1</v>
      </c>
      <c r="H5" s="981">
        <v>1</v>
      </c>
    </row>
    <row r="6" spans="1:8" x14ac:dyDescent="0.25">
      <c r="A6" s="981" t="s">
        <v>348</v>
      </c>
      <c r="B6" s="981" t="s">
        <v>216</v>
      </c>
      <c r="C6" s="981" t="s">
        <v>208</v>
      </c>
      <c r="D6" s="981">
        <v>1</v>
      </c>
      <c r="E6" s="981">
        <v>3</v>
      </c>
      <c r="F6" s="981">
        <v>0</v>
      </c>
      <c r="G6" s="981">
        <v>0</v>
      </c>
      <c r="H6" s="981">
        <v>4</v>
      </c>
    </row>
    <row r="7" spans="1:8" x14ac:dyDescent="0.25">
      <c r="A7" s="981" t="s">
        <v>348</v>
      </c>
      <c r="B7" s="981" t="s">
        <v>216</v>
      </c>
      <c r="C7" s="981" t="s">
        <v>207</v>
      </c>
      <c r="D7" s="981">
        <v>1</v>
      </c>
      <c r="E7" s="981">
        <v>1</v>
      </c>
      <c r="F7" s="981">
        <v>0</v>
      </c>
      <c r="G7" s="981">
        <v>0</v>
      </c>
      <c r="H7" s="981">
        <v>2</v>
      </c>
    </row>
    <row r="8" spans="1:8" x14ac:dyDescent="0.25">
      <c r="A8" s="981" t="s">
        <v>348</v>
      </c>
      <c r="B8" s="981" t="s">
        <v>216</v>
      </c>
      <c r="C8" s="981" t="s">
        <v>206</v>
      </c>
      <c r="D8" s="981">
        <v>1</v>
      </c>
      <c r="E8" s="981">
        <v>1</v>
      </c>
      <c r="F8" s="981">
        <v>1</v>
      </c>
      <c r="G8" s="981">
        <v>2</v>
      </c>
      <c r="H8" s="981">
        <v>5</v>
      </c>
    </row>
    <row r="9" spans="1:8" x14ac:dyDescent="0.25">
      <c r="A9" s="981" t="s">
        <v>348</v>
      </c>
      <c r="B9" s="981" t="s">
        <v>216</v>
      </c>
      <c r="C9" s="981" t="s">
        <v>205</v>
      </c>
      <c r="D9" s="981"/>
      <c r="E9" s="981">
        <v>2</v>
      </c>
      <c r="F9" s="981"/>
      <c r="G9" s="981"/>
      <c r="H9" s="981">
        <v>2</v>
      </c>
    </row>
    <row r="10" spans="1:8" x14ac:dyDescent="0.25">
      <c r="A10" s="981" t="s">
        <v>348</v>
      </c>
      <c r="B10" s="981" t="s">
        <v>216</v>
      </c>
      <c r="C10" s="981" t="s">
        <v>278</v>
      </c>
      <c r="D10" s="981">
        <v>2</v>
      </c>
      <c r="E10" s="981">
        <v>3</v>
      </c>
      <c r="F10" s="981"/>
      <c r="G10" s="981"/>
      <c r="H10" s="981">
        <v>5</v>
      </c>
    </row>
    <row r="11" spans="1:8" x14ac:dyDescent="0.25">
      <c r="A11" s="981" t="s">
        <v>348</v>
      </c>
      <c r="B11" s="981" t="s">
        <v>216</v>
      </c>
      <c r="C11" s="981" t="s">
        <v>259</v>
      </c>
      <c r="D11" s="981">
        <v>3</v>
      </c>
      <c r="E11" s="981">
        <v>4</v>
      </c>
      <c r="F11" s="981"/>
      <c r="G11" s="981"/>
      <c r="H11" s="981">
        <v>7</v>
      </c>
    </row>
    <row r="12" spans="1:8" x14ac:dyDescent="0.25">
      <c r="A12" s="981" t="s">
        <v>348</v>
      </c>
      <c r="B12" s="981" t="s">
        <v>200</v>
      </c>
      <c r="C12" s="981" t="s">
        <v>258</v>
      </c>
      <c r="D12" s="981"/>
      <c r="E12" s="981">
        <v>2</v>
      </c>
      <c r="F12" s="981"/>
      <c r="G12" s="981"/>
      <c r="H12" s="981">
        <v>2</v>
      </c>
    </row>
    <row r="13" spans="1:8" x14ac:dyDescent="0.25">
      <c r="A13" s="981" t="s">
        <v>348</v>
      </c>
      <c r="B13" s="981" t="s">
        <v>216</v>
      </c>
      <c r="C13" s="981" t="s">
        <v>258</v>
      </c>
      <c r="D13" s="981">
        <v>1</v>
      </c>
      <c r="E13" s="981"/>
      <c r="F13" s="981"/>
      <c r="G13" s="981"/>
      <c r="H13" s="981">
        <v>1</v>
      </c>
    </row>
  </sheetData>
  <pageMargins left="0.7" right="0.7" top="0.75" bottom="0.75" header="0.3" footer="0.3"/>
  <pageSetup paperSize="9" fitToHeight="50"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pageSetUpPr fitToPage="1"/>
  </sheetPr>
  <dimension ref="A4:D134"/>
  <sheetViews>
    <sheetView zoomScale="85" zoomScaleNormal="85" workbookViewId="0">
      <pane ySplit="4" topLeftCell="A56" activePane="bottomLeft" state="frozen"/>
      <selection activeCell="A5" sqref="A5"/>
      <selection pane="bottomLeft" activeCell="A5" sqref="A5"/>
    </sheetView>
  </sheetViews>
  <sheetFormatPr defaultRowHeight="15" x14ac:dyDescent="0.25"/>
  <sheetData>
    <row r="4" spans="1:4" x14ac:dyDescent="0.25">
      <c r="A4" s="980" t="s">
        <v>249</v>
      </c>
      <c r="B4" s="980" t="s">
        <v>731</v>
      </c>
      <c r="C4" s="980" t="s">
        <v>473</v>
      </c>
      <c r="D4" s="980" t="s">
        <v>259</v>
      </c>
    </row>
    <row r="5" spans="1:4" x14ac:dyDescent="0.25">
      <c r="A5" s="981" t="s">
        <v>278</v>
      </c>
      <c r="B5" s="981" t="s">
        <v>475</v>
      </c>
      <c r="C5" s="981" t="s">
        <v>200</v>
      </c>
      <c r="D5" s="981">
        <v>777</v>
      </c>
    </row>
    <row r="6" spans="1:4" x14ac:dyDescent="0.25">
      <c r="A6" s="981" t="s">
        <v>278</v>
      </c>
      <c r="B6" s="981" t="s">
        <v>475</v>
      </c>
      <c r="C6" s="981" t="s">
        <v>218</v>
      </c>
      <c r="D6" s="981">
        <v>11</v>
      </c>
    </row>
    <row r="7" spans="1:4" x14ac:dyDescent="0.25">
      <c r="A7" s="981" t="s">
        <v>278</v>
      </c>
      <c r="B7" s="981" t="s">
        <v>476</v>
      </c>
      <c r="C7" s="981" t="s">
        <v>192</v>
      </c>
      <c r="D7" s="981">
        <v>26</v>
      </c>
    </row>
    <row r="8" spans="1:4" x14ac:dyDescent="0.25">
      <c r="A8" s="981" t="s">
        <v>278</v>
      </c>
      <c r="B8" s="981" t="s">
        <v>476</v>
      </c>
      <c r="C8" s="981" t="s">
        <v>193</v>
      </c>
      <c r="D8" s="981">
        <v>145</v>
      </c>
    </row>
    <row r="9" spans="1:4" x14ac:dyDescent="0.25">
      <c r="A9" s="981" t="s">
        <v>278</v>
      </c>
      <c r="B9" s="981" t="s">
        <v>476</v>
      </c>
      <c r="C9" s="981" t="s">
        <v>125</v>
      </c>
      <c r="D9" s="981">
        <v>418</v>
      </c>
    </row>
    <row r="10" spans="1:4" x14ac:dyDescent="0.25">
      <c r="A10" s="981" t="s">
        <v>278</v>
      </c>
      <c r="B10" s="981" t="s">
        <v>476</v>
      </c>
      <c r="C10" s="981" t="s">
        <v>194</v>
      </c>
      <c r="D10" s="981">
        <v>43</v>
      </c>
    </row>
    <row r="11" spans="1:4" x14ac:dyDescent="0.25">
      <c r="A11" s="981" t="s">
        <v>278</v>
      </c>
      <c r="B11" s="981" t="s">
        <v>340</v>
      </c>
      <c r="C11" s="981" t="s">
        <v>192</v>
      </c>
      <c r="D11" s="981">
        <v>2</v>
      </c>
    </row>
    <row r="12" spans="1:4" x14ac:dyDescent="0.25">
      <c r="A12" s="981" t="s">
        <v>278</v>
      </c>
      <c r="B12" s="981" t="s">
        <v>340</v>
      </c>
      <c r="C12" s="981" t="s">
        <v>193</v>
      </c>
      <c r="D12" s="981">
        <v>10</v>
      </c>
    </row>
    <row r="13" spans="1:4" x14ac:dyDescent="0.25">
      <c r="A13" s="981" t="s">
        <v>278</v>
      </c>
      <c r="B13" s="981" t="s">
        <v>340</v>
      </c>
      <c r="C13" s="981" t="s">
        <v>125</v>
      </c>
      <c r="D13" s="981">
        <v>51</v>
      </c>
    </row>
    <row r="14" spans="1:4" x14ac:dyDescent="0.25">
      <c r="A14" s="981" t="s">
        <v>278</v>
      </c>
      <c r="B14" s="981" t="s">
        <v>340</v>
      </c>
      <c r="C14" s="981" t="s">
        <v>194</v>
      </c>
      <c r="D14" s="981">
        <v>2</v>
      </c>
    </row>
    <row r="15" spans="1:4" x14ac:dyDescent="0.25">
      <c r="A15" s="981" t="s">
        <v>278</v>
      </c>
      <c r="B15" s="981" t="s">
        <v>341</v>
      </c>
      <c r="C15" s="981" t="s">
        <v>193</v>
      </c>
      <c r="D15" s="981">
        <v>18</v>
      </c>
    </row>
    <row r="16" spans="1:4" x14ac:dyDescent="0.25">
      <c r="A16" s="981" t="s">
        <v>278</v>
      </c>
      <c r="B16" s="981" t="s">
        <v>341</v>
      </c>
      <c r="C16" s="981" t="s">
        <v>125</v>
      </c>
      <c r="D16" s="981">
        <v>36</v>
      </c>
    </row>
    <row r="17" spans="1:4" x14ac:dyDescent="0.25">
      <c r="A17" s="981" t="s">
        <v>278</v>
      </c>
      <c r="B17" s="981" t="s">
        <v>341</v>
      </c>
      <c r="C17" s="981" t="s">
        <v>194</v>
      </c>
      <c r="D17" s="981">
        <v>8</v>
      </c>
    </row>
    <row r="18" spans="1:4" x14ac:dyDescent="0.25">
      <c r="A18" s="981" t="s">
        <v>259</v>
      </c>
      <c r="B18" s="981" t="s">
        <v>475</v>
      </c>
      <c r="C18" s="981" t="s">
        <v>200</v>
      </c>
      <c r="D18" s="981">
        <v>602</v>
      </c>
    </row>
    <row r="19" spans="1:4" x14ac:dyDescent="0.25">
      <c r="A19" s="981" t="s">
        <v>259</v>
      </c>
      <c r="B19" s="981" t="s">
        <v>475</v>
      </c>
      <c r="C19" s="981" t="s">
        <v>218</v>
      </c>
      <c r="D19" s="981">
        <v>39</v>
      </c>
    </row>
    <row r="20" spans="1:4" x14ac:dyDescent="0.25">
      <c r="A20" s="981" t="s">
        <v>259</v>
      </c>
      <c r="B20" s="981" t="s">
        <v>476</v>
      </c>
      <c r="C20" s="981" t="s">
        <v>192</v>
      </c>
      <c r="D20" s="981">
        <v>25</v>
      </c>
    </row>
    <row r="21" spans="1:4" x14ac:dyDescent="0.25">
      <c r="A21" s="981" t="s">
        <v>259</v>
      </c>
      <c r="B21" s="981" t="s">
        <v>476</v>
      </c>
      <c r="C21" s="981" t="s">
        <v>218</v>
      </c>
      <c r="D21" s="981">
        <v>95</v>
      </c>
    </row>
    <row r="22" spans="1:4" x14ac:dyDescent="0.25">
      <c r="A22" s="981" t="s">
        <v>259</v>
      </c>
      <c r="B22" s="981" t="s">
        <v>476</v>
      </c>
      <c r="C22" s="981" t="s">
        <v>193</v>
      </c>
      <c r="D22" s="981">
        <v>147</v>
      </c>
    </row>
    <row r="23" spans="1:4" x14ac:dyDescent="0.25">
      <c r="A23" s="981" t="s">
        <v>259</v>
      </c>
      <c r="B23" s="981" t="s">
        <v>476</v>
      </c>
      <c r="C23" s="981" t="s">
        <v>125</v>
      </c>
      <c r="D23" s="981">
        <v>417</v>
      </c>
    </row>
    <row r="24" spans="1:4" x14ac:dyDescent="0.25">
      <c r="A24" s="981" t="s">
        <v>259</v>
      </c>
      <c r="B24" s="981" t="s">
        <v>476</v>
      </c>
      <c r="C24" s="981" t="s">
        <v>194</v>
      </c>
      <c r="D24" s="981">
        <v>43</v>
      </c>
    </row>
    <row r="25" spans="1:4" x14ac:dyDescent="0.25">
      <c r="A25" s="981" t="s">
        <v>259</v>
      </c>
      <c r="B25" s="981" t="s">
        <v>340</v>
      </c>
      <c r="C25" s="981" t="s">
        <v>192</v>
      </c>
      <c r="D25" s="981">
        <v>3</v>
      </c>
    </row>
    <row r="26" spans="1:4" x14ac:dyDescent="0.25">
      <c r="A26" s="981" t="s">
        <v>259</v>
      </c>
      <c r="B26" s="981" t="s">
        <v>340</v>
      </c>
      <c r="C26" s="981" t="s">
        <v>193</v>
      </c>
      <c r="D26" s="981">
        <v>11</v>
      </c>
    </row>
    <row r="27" spans="1:4" x14ac:dyDescent="0.25">
      <c r="A27" s="981" t="s">
        <v>259</v>
      </c>
      <c r="B27" s="981" t="s">
        <v>340</v>
      </c>
      <c r="C27" s="981" t="s">
        <v>125</v>
      </c>
      <c r="D27" s="981">
        <v>59</v>
      </c>
    </row>
    <row r="28" spans="1:4" x14ac:dyDescent="0.25">
      <c r="A28" s="981" t="s">
        <v>259</v>
      </c>
      <c r="B28" s="981" t="s">
        <v>340</v>
      </c>
      <c r="C28" s="981" t="s">
        <v>194</v>
      </c>
      <c r="D28" s="981">
        <v>1</v>
      </c>
    </row>
    <row r="29" spans="1:4" x14ac:dyDescent="0.25">
      <c r="A29" s="981" t="s">
        <v>259</v>
      </c>
      <c r="B29" s="981" t="s">
        <v>341</v>
      </c>
      <c r="C29" s="981" t="s">
        <v>193</v>
      </c>
      <c r="D29" s="981">
        <v>24</v>
      </c>
    </row>
    <row r="30" spans="1:4" x14ac:dyDescent="0.25">
      <c r="A30" s="981" t="s">
        <v>259</v>
      </c>
      <c r="B30" s="981" t="s">
        <v>341</v>
      </c>
      <c r="C30" s="981" t="s">
        <v>125</v>
      </c>
      <c r="D30" s="981">
        <v>30</v>
      </c>
    </row>
    <row r="31" spans="1:4" x14ac:dyDescent="0.25">
      <c r="A31" s="981" t="s">
        <v>259</v>
      </c>
      <c r="B31" s="981" t="s">
        <v>341</v>
      </c>
      <c r="C31" s="981" t="s">
        <v>194</v>
      </c>
      <c r="D31" s="981">
        <v>10</v>
      </c>
    </row>
    <row r="32" spans="1:4" x14ac:dyDescent="0.25">
      <c r="A32" s="981" t="s">
        <v>258</v>
      </c>
      <c r="B32" s="981" t="s">
        <v>475</v>
      </c>
      <c r="C32" s="981" t="s">
        <v>200</v>
      </c>
      <c r="D32" s="981">
        <v>509</v>
      </c>
    </row>
    <row r="33" spans="1:4" x14ac:dyDescent="0.25">
      <c r="A33" s="981" t="s">
        <v>258</v>
      </c>
      <c r="B33" s="981" t="s">
        <v>475</v>
      </c>
      <c r="C33" s="981" t="s">
        <v>218</v>
      </c>
      <c r="D33" s="981">
        <v>23</v>
      </c>
    </row>
    <row r="34" spans="1:4" x14ac:dyDescent="0.25">
      <c r="A34" s="981" t="s">
        <v>258</v>
      </c>
      <c r="B34" s="981" t="s">
        <v>476</v>
      </c>
      <c r="C34" s="981" t="s">
        <v>192</v>
      </c>
      <c r="D34" s="981">
        <v>28</v>
      </c>
    </row>
    <row r="35" spans="1:4" x14ac:dyDescent="0.25">
      <c r="A35" s="981" t="s">
        <v>258</v>
      </c>
      <c r="B35" s="981" t="s">
        <v>476</v>
      </c>
      <c r="C35" s="981" t="s">
        <v>218</v>
      </c>
      <c r="D35" s="981">
        <v>198</v>
      </c>
    </row>
    <row r="36" spans="1:4" x14ac:dyDescent="0.25">
      <c r="A36" s="981" t="s">
        <v>258</v>
      </c>
      <c r="B36" s="981" t="s">
        <v>476</v>
      </c>
      <c r="C36" s="981" t="s">
        <v>193</v>
      </c>
      <c r="D36" s="981">
        <v>165</v>
      </c>
    </row>
    <row r="37" spans="1:4" x14ac:dyDescent="0.25">
      <c r="A37" s="981" t="s">
        <v>258</v>
      </c>
      <c r="B37" s="981" t="s">
        <v>476</v>
      </c>
      <c r="C37" s="981" t="s">
        <v>125</v>
      </c>
      <c r="D37" s="981">
        <v>431</v>
      </c>
    </row>
    <row r="38" spans="1:4" x14ac:dyDescent="0.25">
      <c r="A38" s="981" t="s">
        <v>258</v>
      </c>
      <c r="B38" s="981" t="s">
        <v>476</v>
      </c>
      <c r="C38" s="981" t="s">
        <v>194</v>
      </c>
      <c r="D38" s="981">
        <v>42</v>
      </c>
    </row>
    <row r="39" spans="1:4" x14ac:dyDescent="0.25">
      <c r="A39" s="981" t="s">
        <v>258</v>
      </c>
      <c r="B39" s="981" t="s">
        <v>340</v>
      </c>
      <c r="C39" s="981" t="s">
        <v>192</v>
      </c>
      <c r="D39" s="981">
        <v>4</v>
      </c>
    </row>
    <row r="40" spans="1:4" x14ac:dyDescent="0.25">
      <c r="A40" s="981" t="s">
        <v>258</v>
      </c>
      <c r="B40" s="981" t="s">
        <v>340</v>
      </c>
      <c r="C40" s="981" t="s">
        <v>193</v>
      </c>
      <c r="D40" s="981">
        <v>16</v>
      </c>
    </row>
    <row r="41" spans="1:4" x14ac:dyDescent="0.25">
      <c r="A41" s="981" t="s">
        <v>258</v>
      </c>
      <c r="B41" s="981" t="s">
        <v>340</v>
      </c>
      <c r="C41" s="981" t="s">
        <v>125</v>
      </c>
      <c r="D41" s="981">
        <v>69</v>
      </c>
    </row>
    <row r="42" spans="1:4" x14ac:dyDescent="0.25">
      <c r="A42" s="981" t="s">
        <v>258</v>
      </c>
      <c r="B42" s="981" t="s">
        <v>340</v>
      </c>
      <c r="C42" s="981" t="s">
        <v>194</v>
      </c>
      <c r="D42" s="981">
        <v>1</v>
      </c>
    </row>
    <row r="43" spans="1:4" x14ac:dyDescent="0.25">
      <c r="A43" s="981" t="s">
        <v>258</v>
      </c>
      <c r="B43" s="981" t="s">
        <v>341</v>
      </c>
      <c r="C43" s="981" t="s">
        <v>193</v>
      </c>
      <c r="D43" s="981">
        <v>22</v>
      </c>
    </row>
    <row r="44" spans="1:4" x14ac:dyDescent="0.25">
      <c r="A44" s="981" t="s">
        <v>258</v>
      </c>
      <c r="B44" s="981" t="s">
        <v>341</v>
      </c>
      <c r="C44" s="981" t="s">
        <v>125</v>
      </c>
      <c r="D44" s="981">
        <v>33</v>
      </c>
    </row>
    <row r="45" spans="1:4" x14ac:dyDescent="0.25">
      <c r="A45" s="981" t="s">
        <v>258</v>
      </c>
      <c r="B45" s="981" t="s">
        <v>341</v>
      </c>
      <c r="C45" s="981" t="s">
        <v>194</v>
      </c>
      <c r="D45" s="981">
        <v>10</v>
      </c>
    </row>
    <row r="75" spans="1:4" x14ac:dyDescent="0.25">
      <c r="A75" s="983" t="s">
        <v>969</v>
      </c>
      <c r="B75" s="983" t="s">
        <v>982</v>
      </c>
      <c r="C75" s="983" t="s">
        <v>983</v>
      </c>
      <c r="D75" s="983" t="s">
        <v>278</v>
      </c>
    </row>
    <row r="76" spans="1:4" x14ac:dyDescent="0.25">
      <c r="A76" s="981" t="s">
        <v>278</v>
      </c>
      <c r="B76" s="981" t="s">
        <v>475</v>
      </c>
      <c r="C76" s="981" t="s">
        <v>466</v>
      </c>
      <c r="D76" s="981">
        <v>787</v>
      </c>
    </row>
    <row r="77" spans="1:4" x14ac:dyDescent="0.25">
      <c r="A77" s="981" t="s">
        <v>278</v>
      </c>
      <c r="B77" s="981" t="s">
        <v>476</v>
      </c>
      <c r="C77" s="981" t="s">
        <v>465</v>
      </c>
      <c r="D77" s="981">
        <v>26</v>
      </c>
    </row>
    <row r="78" spans="1:4" x14ac:dyDescent="0.25">
      <c r="A78" s="981" t="s">
        <v>278</v>
      </c>
      <c r="B78" s="981" t="s">
        <v>476</v>
      </c>
      <c r="C78" s="981" t="s">
        <v>217</v>
      </c>
      <c r="D78" s="981">
        <v>26</v>
      </c>
    </row>
    <row r="79" spans="1:4" x14ac:dyDescent="0.25">
      <c r="A79" s="981" t="s">
        <v>278</v>
      </c>
      <c r="B79" s="981" t="s">
        <v>476</v>
      </c>
      <c r="C79" s="981" t="s">
        <v>467</v>
      </c>
      <c r="D79" s="981">
        <v>68</v>
      </c>
    </row>
    <row r="80" spans="1:4" x14ac:dyDescent="0.25">
      <c r="A80" s="981" t="s">
        <v>278</v>
      </c>
      <c r="B80" s="981" t="s">
        <v>476</v>
      </c>
      <c r="C80" s="981" t="s">
        <v>468</v>
      </c>
      <c r="D80" s="981">
        <v>17</v>
      </c>
    </row>
    <row r="81" spans="1:4" x14ac:dyDescent="0.25">
      <c r="A81" s="981" t="s">
        <v>278</v>
      </c>
      <c r="B81" s="981" t="s">
        <v>476</v>
      </c>
      <c r="C81" s="981" t="s">
        <v>125</v>
      </c>
      <c r="D81" s="981">
        <v>418</v>
      </c>
    </row>
    <row r="82" spans="1:4" x14ac:dyDescent="0.25">
      <c r="A82" s="981" t="s">
        <v>278</v>
      </c>
      <c r="B82" s="981" t="s">
        <v>476</v>
      </c>
      <c r="C82" s="981" t="s">
        <v>194</v>
      </c>
      <c r="D82" s="981">
        <v>43</v>
      </c>
    </row>
    <row r="83" spans="1:4" x14ac:dyDescent="0.25">
      <c r="A83" s="981" t="s">
        <v>278</v>
      </c>
      <c r="B83" s="981" t="s">
        <v>476</v>
      </c>
      <c r="C83" s="981" t="s">
        <v>202</v>
      </c>
      <c r="D83" s="981">
        <v>34</v>
      </c>
    </row>
    <row r="84" spans="1:4" x14ac:dyDescent="0.25">
      <c r="A84" s="981" t="s">
        <v>278</v>
      </c>
      <c r="B84" s="981" t="s">
        <v>340</v>
      </c>
      <c r="C84" s="981" t="s">
        <v>465</v>
      </c>
      <c r="D84" s="981">
        <v>2</v>
      </c>
    </row>
    <row r="85" spans="1:4" x14ac:dyDescent="0.25">
      <c r="A85" s="981" t="s">
        <v>278</v>
      </c>
      <c r="B85" s="981" t="s">
        <v>340</v>
      </c>
      <c r="C85" s="981" t="s">
        <v>217</v>
      </c>
      <c r="D85" s="981">
        <v>3</v>
      </c>
    </row>
    <row r="86" spans="1:4" x14ac:dyDescent="0.25">
      <c r="A86" s="981" t="s">
        <v>278</v>
      </c>
      <c r="B86" s="981" t="s">
        <v>340</v>
      </c>
      <c r="C86" s="981" t="s">
        <v>467</v>
      </c>
      <c r="D86" s="981">
        <v>5</v>
      </c>
    </row>
    <row r="87" spans="1:4" x14ac:dyDescent="0.25">
      <c r="A87" s="981" t="s">
        <v>278</v>
      </c>
      <c r="B87" s="981" t="s">
        <v>340</v>
      </c>
      <c r="C87" s="981" t="s">
        <v>125</v>
      </c>
      <c r="D87" s="981">
        <v>51</v>
      </c>
    </row>
    <row r="88" spans="1:4" x14ac:dyDescent="0.25">
      <c r="A88" s="981" t="s">
        <v>278</v>
      </c>
      <c r="B88" s="981" t="s">
        <v>340</v>
      </c>
      <c r="C88" s="981" t="s">
        <v>194</v>
      </c>
      <c r="D88" s="981">
        <v>2</v>
      </c>
    </row>
    <row r="89" spans="1:4" x14ac:dyDescent="0.25">
      <c r="A89" s="981" t="s">
        <v>278</v>
      </c>
      <c r="B89" s="981" t="s">
        <v>340</v>
      </c>
      <c r="C89" s="981" t="s">
        <v>202</v>
      </c>
      <c r="D89" s="981">
        <v>2</v>
      </c>
    </row>
    <row r="90" spans="1:4" x14ac:dyDescent="0.25">
      <c r="A90" s="981" t="s">
        <v>278</v>
      </c>
      <c r="B90" s="981" t="s">
        <v>341</v>
      </c>
      <c r="C90" s="981" t="s">
        <v>217</v>
      </c>
      <c r="D90" s="981">
        <v>8</v>
      </c>
    </row>
    <row r="91" spans="1:4" x14ac:dyDescent="0.25">
      <c r="A91" s="981" t="s">
        <v>278</v>
      </c>
      <c r="B91" s="981" t="s">
        <v>341</v>
      </c>
      <c r="C91" s="981" t="s">
        <v>467</v>
      </c>
      <c r="D91" s="981">
        <v>10</v>
      </c>
    </row>
    <row r="92" spans="1:4" x14ac:dyDescent="0.25">
      <c r="A92" s="981" t="s">
        <v>278</v>
      </c>
      <c r="B92" s="981" t="s">
        <v>341</v>
      </c>
      <c r="C92" s="981" t="s">
        <v>125</v>
      </c>
      <c r="D92" s="981">
        <v>36</v>
      </c>
    </row>
    <row r="93" spans="1:4" x14ac:dyDescent="0.25">
      <c r="A93" s="981" t="s">
        <v>278</v>
      </c>
      <c r="B93" s="981" t="s">
        <v>341</v>
      </c>
      <c r="C93" s="981" t="s">
        <v>194</v>
      </c>
      <c r="D93" s="981">
        <v>8</v>
      </c>
    </row>
    <row r="94" spans="1:4" x14ac:dyDescent="0.25">
      <c r="A94" s="981" t="s">
        <v>259</v>
      </c>
      <c r="B94" s="981" t="s">
        <v>475</v>
      </c>
      <c r="C94" s="981" t="s">
        <v>466</v>
      </c>
      <c r="D94" s="981">
        <v>735</v>
      </c>
    </row>
    <row r="95" spans="1:4" x14ac:dyDescent="0.25">
      <c r="A95" s="981" t="s">
        <v>259</v>
      </c>
      <c r="B95" s="981" t="s">
        <v>476</v>
      </c>
      <c r="C95" s="981" t="s">
        <v>465</v>
      </c>
      <c r="D95" s="981">
        <v>25</v>
      </c>
    </row>
    <row r="96" spans="1:4" x14ac:dyDescent="0.25">
      <c r="A96" s="981" t="s">
        <v>259</v>
      </c>
      <c r="B96" s="981" t="s">
        <v>476</v>
      </c>
      <c r="C96" s="981" t="s">
        <v>217</v>
      </c>
      <c r="D96" s="981">
        <v>27</v>
      </c>
    </row>
    <row r="97" spans="1:4" x14ac:dyDescent="0.25">
      <c r="A97" s="981" t="s">
        <v>259</v>
      </c>
      <c r="B97" s="981" t="s">
        <v>476</v>
      </c>
      <c r="C97" s="981" t="s">
        <v>467</v>
      </c>
      <c r="D97" s="981">
        <v>59</v>
      </c>
    </row>
    <row r="98" spans="1:4" x14ac:dyDescent="0.25">
      <c r="A98" s="981" t="s">
        <v>259</v>
      </c>
      <c r="B98" s="981" t="s">
        <v>476</v>
      </c>
      <c r="C98" s="981" t="s">
        <v>468</v>
      </c>
      <c r="D98" s="981">
        <v>20</v>
      </c>
    </row>
    <row r="99" spans="1:4" x14ac:dyDescent="0.25">
      <c r="A99" s="981" t="s">
        <v>259</v>
      </c>
      <c r="B99" s="981" t="s">
        <v>476</v>
      </c>
      <c r="C99" s="981" t="s">
        <v>125</v>
      </c>
      <c r="D99" s="981">
        <v>417</v>
      </c>
    </row>
    <row r="100" spans="1:4" x14ac:dyDescent="0.25">
      <c r="A100" s="981" t="s">
        <v>259</v>
      </c>
      <c r="B100" s="981" t="s">
        <v>476</v>
      </c>
      <c r="C100" s="981" t="s">
        <v>194</v>
      </c>
      <c r="D100" s="981">
        <v>43</v>
      </c>
    </row>
    <row r="101" spans="1:4" x14ac:dyDescent="0.25">
      <c r="A101" s="981" t="s">
        <v>259</v>
      </c>
      <c r="B101" s="981" t="s">
        <v>476</v>
      </c>
      <c r="C101" s="981" t="s">
        <v>202</v>
      </c>
      <c r="D101" s="981">
        <v>41</v>
      </c>
    </row>
    <row r="102" spans="1:4" x14ac:dyDescent="0.25">
      <c r="A102" s="981" t="s">
        <v>259</v>
      </c>
      <c r="B102" s="981" t="s">
        <v>340</v>
      </c>
      <c r="C102" s="981" t="s">
        <v>465</v>
      </c>
      <c r="D102" s="981">
        <v>3</v>
      </c>
    </row>
    <row r="103" spans="1:4" x14ac:dyDescent="0.25">
      <c r="A103" s="981" t="s">
        <v>259</v>
      </c>
      <c r="B103" s="981" t="s">
        <v>340</v>
      </c>
      <c r="C103" s="981" t="s">
        <v>217</v>
      </c>
      <c r="D103" s="981">
        <v>3</v>
      </c>
    </row>
    <row r="104" spans="1:4" x14ac:dyDescent="0.25">
      <c r="A104" s="981" t="s">
        <v>259</v>
      </c>
      <c r="B104" s="981" t="s">
        <v>340</v>
      </c>
      <c r="C104" s="981" t="s">
        <v>467</v>
      </c>
      <c r="D104" s="981">
        <v>5</v>
      </c>
    </row>
    <row r="105" spans="1:4" x14ac:dyDescent="0.25">
      <c r="A105" s="981" t="s">
        <v>259</v>
      </c>
      <c r="B105" s="981" t="s">
        <v>340</v>
      </c>
      <c r="C105" s="981" t="s">
        <v>125</v>
      </c>
      <c r="D105" s="981">
        <v>59</v>
      </c>
    </row>
    <row r="106" spans="1:4" x14ac:dyDescent="0.25">
      <c r="A106" s="981" t="s">
        <v>259</v>
      </c>
      <c r="B106" s="981" t="s">
        <v>340</v>
      </c>
      <c r="C106" s="981" t="s">
        <v>194</v>
      </c>
      <c r="D106" s="981">
        <v>1</v>
      </c>
    </row>
    <row r="107" spans="1:4" x14ac:dyDescent="0.25">
      <c r="A107" s="981" t="s">
        <v>259</v>
      </c>
      <c r="B107" s="981" t="s">
        <v>340</v>
      </c>
      <c r="C107" s="981" t="s">
        <v>202</v>
      </c>
      <c r="D107" s="981">
        <v>3</v>
      </c>
    </row>
    <row r="108" spans="1:4" x14ac:dyDescent="0.25">
      <c r="A108" s="981" t="s">
        <v>259</v>
      </c>
      <c r="B108" s="981" t="s">
        <v>341</v>
      </c>
      <c r="C108" s="981" t="s">
        <v>217</v>
      </c>
      <c r="D108" s="981">
        <v>8</v>
      </c>
    </row>
    <row r="109" spans="1:4" x14ac:dyDescent="0.25">
      <c r="A109" s="981" t="s">
        <v>259</v>
      </c>
      <c r="B109" s="981" t="s">
        <v>341</v>
      </c>
      <c r="C109" s="981" t="s">
        <v>467</v>
      </c>
      <c r="D109" s="981">
        <v>14</v>
      </c>
    </row>
    <row r="110" spans="1:4" x14ac:dyDescent="0.25">
      <c r="A110" s="981" t="s">
        <v>259</v>
      </c>
      <c r="B110" s="981" t="s">
        <v>341</v>
      </c>
      <c r="C110" s="981" t="s">
        <v>468</v>
      </c>
      <c r="D110" s="981">
        <v>1</v>
      </c>
    </row>
    <row r="111" spans="1:4" x14ac:dyDescent="0.25">
      <c r="A111" s="981" t="s">
        <v>259</v>
      </c>
      <c r="B111" s="981" t="s">
        <v>341</v>
      </c>
      <c r="C111" s="981" t="s">
        <v>125</v>
      </c>
      <c r="D111" s="981">
        <v>30</v>
      </c>
    </row>
    <row r="112" spans="1:4" x14ac:dyDescent="0.25">
      <c r="A112" s="981" t="s">
        <v>259</v>
      </c>
      <c r="B112" s="981" t="s">
        <v>341</v>
      </c>
      <c r="C112" s="981" t="s">
        <v>194</v>
      </c>
      <c r="D112" s="981">
        <v>10</v>
      </c>
    </row>
    <row r="113" spans="1:4" x14ac:dyDescent="0.25">
      <c r="A113" s="981" t="s">
        <v>259</v>
      </c>
      <c r="B113" s="981" t="s">
        <v>341</v>
      </c>
      <c r="C113" s="981" t="s">
        <v>202</v>
      </c>
      <c r="D113" s="981">
        <v>1</v>
      </c>
    </row>
    <row r="114" spans="1:4" x14ac:dyDescent="0.25">
      <c r="A114" s="981" t="s">
        <v>258</v>
      </c>
      <c r="B114" s="981" t="s">
        <v>475</v>
      </c>
      <c r="C114" s="981" t="s">
        <v>466</v>
      </c>
      <c r="D114" s="981">
        <v>729</v>
      </c>
    </row>
    <row r="115" spans="1:4" x14ac:dyDescent="0.25">
      <c r="A115" s="981" t="s">
        <v>258</v>
      </c>
      <c r="B115" s="981" t="s">
        <v>476</v>
      </c>
      <c r="C115" s="981" t="s">
        <v>465</v>
      </c>
      <c r="D115" s="981">
        <v>28</v>
      </c>
    </row>
    <row r="116" spans="1:4" x14ac:dyDescent="0.25">
      <c r="A116" s="981" t="s">
        <v>258</v>
      </c>
      <c r="B116" s="981" t="s">
        <v>476</v>
      </c>
      <c r="C116" s="981" t="s">
        <v>217</v>
      </c>
      <c r="D116" s="981">
        <v>39</v>
      </c>
    </row>
    <row r="117" spans="1:4" x14ac:dyDescent="0.25">
      <c r="A117" s="981" t="s">
        <v>258</v>
      </c>
      <c r="B117" s="981" t="s">
        <v>476</v>
      </c>
      <c r="C117" s="981" t="s">
        <v>467</v>
      </c>
      <c r="D117" s="981">
        <v>62</v>
      </c>
    </row>
    <row r="118" spans="1:4" x14ac:dyDescent="0.25">
      <c r="A118" s="981" t="s">
        <v>258</v>
      </c>
      <c r="B118" s="981" t="s">
        <v>476</v>
      </c>
      <c r="C118" s="981" t="s">
        <v>468</v>
      </c>
      <c r="D118" s="981">
        <v>25</v>
      </c>
    </row>
    <row r="119" spans="1:4" x14ac:dyDescent="0.25">
      <c r="A119" s="981" t="s">
        <v>258</v>
      </c>
      <c r="B119" s="981" t="s">
        <v>476</v>
      </c>
      <c r="C119" s="981" t="s">
        <v>125</v>
      </c>
      <c r="D119" s="981">
        <v>431</v>
      </c>
    </row>
    <row r="120" spans="1:4" x14ac:dyDescent="0.25">
      <c r="A120" s="981" t="s">
        <v>258</v>
      </c>
      <c r="B120" s="981" t="s">
        <v>476</v>
      </c>
      <c r="C120" s="981" t="s">
        <v>194</v>
      </c>
      <c r="D120" s="981">
        <v>42</v>
      </c>
    </row>
    <row r="121" spans="1:4" x14ac:dyDescent="0.25">
      <c r="A121" s="981" t="s">
        <v>258</v>
      </c>
      <c r="B121" s="981" t="s">
        <v>476</v>
      </c>
      <c r="C121" s="981" t="s">
        <v>202</v>
      </c>
      <c r="D121" s="981">
        <v>39</v>
      </c>
    </row>
    <row r="122" spans="1:4" x14ac:dyDescent="0.25">
      <c r="A122" s="981" t="s">
        <v>258</v>
      </c>
      <c r="B122" s="981" t="s">
        <v>340</v>
      </c>
      <c r="C122" s="981" t="s">
        <v>465</v>
      </c>
      <c r="D122" s="981">
        <v>4</v>
      </c>
    </row>
    <row r="123" spans="1:4" x14ac:dyDescent="0.25">
      <c r="A123" s="981" t="s">
        <v>258</v>
      </c>
      <c r="B123" s="981" t="s">
        <v>340</v>
      </c>
      <c r="C123" s="981" t="s">
        <v>217</v>
      </c>
      <c r="D123" s="981">
        <v>4</v>
      </c>
    </row>
    <row r="124" spans="1:4" x14ac:dyDescent="0.25">
      <c r="A124" s="981" t="s">
        <v>258</v>
      </c>
      <c r="B124" s="981" t="s">
        <v>340</v>
      </c>
      <c r="C124" s="981" t="s">
        <v>467</v>
      </c>
      <c r="D124" s="981">
        <v>7</v>
      </c>
    </row>
    <row r="125" spans="1:4" x14ac:dyDescent="0.25">
      <c r="A125" s="981" t="s">
        <v>258</v>
      </c>
      <c r="B125" s="981" t="s">
        <v>340</v>
      </c>
      <c r="C125" s="981" t="s">
        <v>468</v>
      </c>
      <c r="D125" s="981">
        <v>1</v>
      </c>
    </row>
    <row r="126" spans="1:4" x14ac:dyDescent="0.25">
      <c r="A126" s="981" t="s">
        <v>258</v>
      </c>
      <c r="B126" s="981" t="s">
        <v>340</v>
      </c>
      <c r="C126" s="981" t="s">
        <v>125</v>
      </c>
      <c r="D126" s="981">
        <v>69</v>
      </c>
    </row>
    <row r="127" spans="1:4" x14ac:dyDescent="0.25">
      <c r="A127" s="981" t="s">
        <v>258</v>
      </c>
      <c r="B127" s="981" t="s">
        <v>340</v>
      </c>
      <c r="C127" s="981" t="s">
        <v>194</v>
      </c>
      <c r="D127" s="981">
        <v>1</v>
      </c>
    </row>
    <row r="128" spans="1:4" x14ac:dyDescent="0.25">
      <c r="A128" s="981" t="s">
        <v>258</v>
      </c>
      <c r="B128" s="981" t="s">
        <v>340</v>
      </c>
      <c r="C128" s="981" t="s">
        <v>202</v>
      </c>
      <c r="D128" s="981">
        <v>4</v>
      </c>
    </row>
    <row r="129" spans="1:4" x14ac:dyDescent="0.25">
      <c r="A129" s="981" t="s">
        <v>258</v>
      </c>
      <c r="B129" s="981" t="s">
        <v>341</v>
      </c>
      <c r="C129" s="981" t="s">
        <v>217</v>
      </c>
      <c r="D129" s="981">
        <v>8</v>
      </c>
    </row>
    <row r="130" spans="1:4" x14ac:dyDescent="0.25">
      <c r="A130" s="981" t="s">
        <v>258</v>
      </c>
      <c r="B130" s="981" t="s">
        <v>341</v>
      </c>
      <c r="C130" s="981" t="s">
        <v>467</v>
      </c>
      <c r="D130" s="981">
        <v>12</v>
      </c>
    </row>
    <row r="131" spans="1:4" x14ac:dyDescent="0.25">
      <c r="A131" s="981" t="s">
        <v>258</v>
      </c>
      <c r="B131" s="981" t="s">
        <v>341</v>
      </c>
      <c r="C131" s="981" t="s">
        <v>468</v>
      </c>
      <c r="D131" s="981">
        <v>1</v>
      </c>
    </row>
    <row r="132" spans="1:4" x14ac:dyDescent="0.25">
      <c r="A132" s="981" t="s">
        <v>258</v>
      </c>
      <c r="B132" s="981" t="s">
        <v>341</v>
      </c>
      <c r="C132" s="981" t="s">
        <v>125</v>
      </c>
      <c r="D132" s="981">
        <v>33</v>
      </c>
    </row>
    <row r="133" spans="1:4" x14ac:dyDescent="0.25">
      <c r="A133" s="981" t="s">
        <v>258</v>
      </c>
      <c r="B133" s="981" t="s">
        <v>341</v>
      </c>
      <c r="C133" s="981" t="s">
        <v>194</v>
      </c>
      <c r="D133" s="981">
        <v>10</v>
      </c>
    </row>
    <row r="134" spans="1:4" x14ac:dyDescent="0.25">
      <c r="A134" s="981" t="s">
        <v>258</v>
      </c>
      <c r="B134" s="981" t="s">
        <v>341</v>
      </c>
      <c r="C134" s="981" t="s">
        <v>202</v>
      </c>
      <c r="D134" s="981">
        <v>1</v>
      </c>
    </row>
  </sheetData>
  <pageMargins left="0.7" right="0.7" top="0.75" bottom="0.75" header="0.3" footer="0.3"/>
  <pageSetup paperSize="9" fitToHeight="50"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A4:H100"/>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8" x14ac:dyDescent="0.25">
      <c r="A4" s="980" t="s">
        <v>334</v>
      </c>
      <c r="B4" s="980" t="s">
        <v>883</v>
      </c>
      <c r="C4" s="980" t="s">
        <v>884</v>
      </c>
      <c r="D4" s="980" t="s">
        <v>26</v>
      </c>
      <c r="E4" s="980" t="s">
        <v>192</v>
      </c>
      <c r="F4" s="980" t="s">
        <v>193</v>
      </c>
      <c r="G4" s="980" t="s">
        <v>125</v>
      </c>
      <c r="H4" s="980" t="s">
        <v>194</v>
      </c>
    </row>
    <row r="5" spans="1:8" x14ac:dyDescent="0.25">
      <c r="A5" s="981" t="s">
        <v>278</v>
      </c>
      <c r="B5" s="981" t="s">
        <v>31</v>
      </c>
      <c r="C5" s="981" t="s">
        <v>306</v>
      </c>
      <c r="D5" s="981">
        <v>15</v>
      </c>
      <c r="E5" s="981">
        <v>1</v>
      </c>
      <c r="F5" s="981">
        <v>1</v>
      </c>
      <c r="G5" s="981">
        <v>8</v>
      </c>
      <c r="H5" s="981">
        <v>5</v>
      </c>
    </row>
    <row r="6" spans="1:8" x14ac:dyDescent="0.25">
      <c r="A6" s="981" t="s">
        <v>278</v>
      </c>
      <c r="B6" s="981" t="s">
        <v>32</v>
      </c>
      <c r="C6" s="981" t="s">
        <v>307</v>
      </c>
      <c r="D6" s="981">
        <v>36</v>
      </c>
      <c r="E6" s="981"/>
      <c r="F6" s="981">
        <v>4</v>
      </c>
      <c r="G6" s="981">
        <v>31</v>
      </c>
      <c r="H6" s="981">
        <v>1</v>
      </c>
    </row>
    <row r="7" spans="1:8" x14ac:dyDescent="0.25">
      <c r="A7" s="981" t="s">
        <v>278</v>
      </c>
      <c r="B7" s="981" t="s">
        <v>33</v>
      </c>
      <c r="C7" s="981" t="s">
        <v>313</v>
      </c>
      <c r="D7" s="981">
        <v>12</v>
      </c>
      <c r="E7" s="981"/>
      <c r="F7" s="981"/>
      <c r="G7" s="981">
        <v>11</v>
      </c>
      <c r="H7" s="981">
        <v>1</v>
      </c>
    </row>
    <row r="8" spans="1:8" x14ac:dyDescent="0.25">
      <c r="A8" s="981" t="s">
        <v>278</v>
      </c>
      <c r="B8" s="981" t="s">
        <v>34</v>
      </c>
      <c r="C8" s="981" t="s">
        <v>308</v>
      </c>
      <c r="D8" s="981">
        <v>47</v>
      </c>
      <c r="E8" s="981">
        <v>1</v>
      </c>
      <c r="F8" s="981">
        <v>25</v>
      </c>
      <c r="G8" s="981">
        <v>21</v>
      </c>
      <c r="H8" s="981"/>
    </row>
    <row r="9" spans="1:8" x14ac:dyDescent="0.25">
      <c r="A9" s="981" t="s">
        <v>278</v>
      </c>
      <c r="B9" s="981" t="s">
        <v>262</v>
      </c>
      <c r="C9" s="981" t="s">
        <v>309</v>
      </c>
      <c r="D9" s="981">
        <v>25</v>
      </c>
      <c r="E9" s="981">
        <v>5</v>
      </c>
      <c r="F9" s="981">
        <v>2</v>
      </c>
      <c r="G9" s="981">
        <v>12</v>
      </c>
      <c r="H9" s="981">
        <v>6</v>
      </c>
    </row>
    <row r="10" spans="1:8" x14ac:dyDescent="0.25">
      <c r="A10" s="981" t="s">
        <v>278</v>
      </c>
      <c r="B10" s="981" t="s">
        <v>35</v>
      </c>
      <c r="C10" s="981" t="s">
        <v>287</v>
      </c>
      <c r="D10" s="981">
        <v>3</v>
      </c>
      <c r="E10" s="981"/>
      <c r="F10" s="981">
        <v>1</v>
      </c>
      <c r="G10" s="981">
        <v>2</v>
      </c>
      <c r="H10" s="981"/>
    </row>
    <row r="11" spans="1:8" x14ac:dyDescent="0.25">
      <c r="A11" s="981" t="s">
        <v>278</v>
      </c>
      <c r="B11" s="981" t="s">
        <v>36</v>
      </c>
      <c r="C11" s="981" t="s">
        <v>288</v>
      </c>
      <c r="D11" s="981">
        <v>29</v>
      </c>
      <c r="E11" s="981">
        <v>1</v>
      </c>
      <c r="F11" s="981">
        <v>8</v>
      </c>
      <c r="G11" s="981">
        <v>20</v>
      </c>
      <c r="H11" s="981"/>
    </row>
    <row r="12" spans="1:8" x14ac:dyDescent="0.25">
      <c r="A12" s="981" t="s">
        <v>278</v>
      </c>
      <c r="B12" s="981" t="s">
        <v>37</v>
      </c>
      <c r="C12" s="981" t="s">
        <v>314</v>
      </c>
      <c r="D12" s="981">
        <v>25</v>
      </c>
      <c r="E12" s="981">
        <v>1</v>
      </c>
      <c r="F12" s="981">
        <v>2</v>
      </c>
      <c r="G12" s="981">
        <v>13</v>
      </c>
      <c r="H12" s="981">
        <v>9</v>
      </c>
    </row>
    <row r="13" spans="1:8" x14ac:dyDescent="0.25">
      <c r="A13" s="981" t="s">
        <v>278</v>
      </c>
      <c r="B13" s="981" t="s">
        <v>38</v>
      </c>
      <c r="C13" s="981" t="s">
        <v>289</v>
      </c>
      <c r="D13" s="981">
        <v>11</v>
      </c>
      <c r="E13" s="981">
        <v>1</v>
      </c>
      <c r="F13" s="981"/>
      <c r="G13" s="981">
        <v>9</v>
      </c>
      <c r="H13" s="981">
        <v>1</v>
      </c>
    </row>
    <row r="14" spans="1:8" x14ac:dyDescent="0.25">
      <c r="A14" s="981" t="s">
        <v>278</v>
      </c>
      <c r="B14" s="981" t="s">
        <v>39</v>
      </c>
      <c r="C14" s="981" t="s">
        <v>316</v>
      </c>
      <c r="D14" s="981">
        <v>5</v>
      </c>
      <c r="E14" s="981"/>
      <c r="F14" s="981"/>
      <c r="G14" s="981">
        <v>3</v>
      </c>
      <c r="H14" s="981">
        <v>2</v>
      </c>
    </row>
    <row r="15" spans="1:8" x14ac:dyDescent="0.25">
      <c r="A15" s="981" t="s">
        <v>278</v>
      </c>
      <c r="B15" s="981" t="s">
        <v>40</v>
      </c>
      <c r="C15" s="981" t="s">
        <v>290</v>
      </c>
      <c r="D15" s="981">
        <v>7</v>
      </c>
      <c r="E15" s="981"/>
      <c r="F15" s="981"/>
      <c r="G15" s="981">
        <v>7</v>
      </c>
      <c r="H15" s="981"/>
    </row>
    <row r="16" spans="1:8" x14ac:dyDescent="0.25">
      <c r="A16" s="981" t="s">
        <v>278</v>
      </c>
      <c r="B16" s="981" t="s">
        <v>41</v>
      </c>
      <c r="C16" s="981" t="s">
        <v>291</v>
      </c>
      <c r="D16" s="981">
        <v>2</v>
      </c>
      <c r="E16" s="981"/>
      <c r="F16" s="981"/>
      <c r="G16" s="981">
        <v>2</v>
      </c>
      <c r="H16" s="981"/>
    </row>
    <row r="17" spans="1:8" x14ac:dyDescent="0.25">
      <c r="A17" s="981" t="s">
        <v>278</v>
      </c>
      <c r="B17" s="981" t="s">
        <v>42</v>
      </c>
      <c r="C17" s="981" t="s">
        <v>293</v>
      </c>
      <c r="D17" s="981">
        <v>14</v>
      </c>
      <c r="E17" s="981">
        <v>1</v>
      </c>
      <c r="F17" s="981">
        <v>4</v>
      </c>
      <c r="G17" s="981">
        <v>7</v>
      </c>
      <c r="H17" s="981">
        <v>2</v>
      </c>
    </row>
    <row r="18" spans="1:8" x14ac:dyDescent="0.25">
      <c r="A18" s="981" t="s">
        <v>278</v>
      </c>
      <c r="B18" s="981" t="s">
        <v>43</v>
      </c>
      <c r="C18" s="981" t="s">
        <v>318</v>
      </c>
      <c r="D18" s="981">
        <v>28</v>
      </c>
      <c r="E18" s="981">
        <v>2</v>
      </c>
      <c r="F18" s="981">
        <v>7</v>
      </c>
      <c r="G18" s="981">
        <v>17</v>
      </c>
      <c r="H18" s="981">
        <v>2</v>
      </c>
    </row>
    <row r="19" spans="1:8" x14ac:dyDescent="0.25">
      <c r="A19" s="981" t="s">
        <v>278</v>
      </c>
      <c r="B19" s="981" t="s">
        <v>124</v>
      </c>
      <c r="C19" s="981" t="s">
        <v>317</v>
      </c>
      <c r="D19" s="981">
        <v>27</v>
      </c>
      <c r="E19" s="981">
        <v>3</v>
      </c>
      <c r="F19" s="981">
        <v>6</v>
      </c>
      <c r="G19" s="981">
        <v>18</v>
      </c>
      <c r="H19" s="981"/>
    </row>
    <row r="20" spans="1:8" x14ac:dyDescent="0.25">
      <c r="A20" s="981" t="s">
        <v>278</v>
      </c>
      <c r="B20" s="981" t="s">
        <v>44</v>
      </c>
      <c r="C20" s="981" t="s">
        <v>294</v>
      </c>
      <c r="D20" s="981">
        <v>83</v>
      </c>
      <c r="E20" s="981">
        <v>1</v>
      </c>
      <c r="F20" s="981">
        <v>12</v>
      </c>
      <c r="G20" s="981">
        <v>67</v>
      </c>
      <c r="H20" s="981">
        <v>3</v>
      </c>
    </row>
    <row r="21" spans="1:8" x14ac:dyDescent="0.25">
      <c r="A21" s="981" t="s">
        <v>278</v>
      </c>
      <c r="B21" s="981" t="s">
        <v>45</v>
      </c>
      <c r="C21" s="981" t="s">
        <v>295</v>
      </c>
      <c r="D21" s="981">
        <v>8</v>
      </c>
      <c r="E21" s="981">
        <v>1</v>
      </c>
      <c r="F21" s="981">
        <v>1</v>
      </c>
      <c r="G21" s="981">
        <v>6</v>
      </c>
      <c r="H21" s="981"/>
    </row>
    <row r="22" spans="1:8" x14ac:dyDescent="0.25">
      <c r="A22" s="981" t="s">
        <v>278</v>
      </c>
      <c r="B22" s="981" t="s">
        <v>46</v>
      </c>
      <c r="C22" s="981" t="s">
        <v>296</v>
      </c>
      <c r="D22" s="981">
        <v>5</v>
      </c>
      <c r="E22" s="981"/>
      <c r="F22" s="981">
        <v>2</v>
      </c>
      <c r="G22" s="981">
        <v>3</v>
      </c>
      <c r="H22" s="981"/>
    </row>
    <row r="23" spans="1:8" x14ac:dyDescent="0.25">
      <c r="A23" s="981" t="s">
        <v>278</v>
      </c>
      <c r="B23" s="981" t="s">
        <v>47</v>
      </c>
      <c r="C23" s="981" t="s">
        <v>297</v>
      </c>
      <c r="D23" s="981">
        <v>19</v>
      </c>
      <c r="E23" s="981"/>
      <c r="F23" s="981">
        <v>6</v>
      </c>
      <c r="G23" s="981">
        <v>13</v>
      </c>
      <c r="H23" s="981"/>
    </row>
    <row r="24" spans="1:8" x14ac:dyDescent="0.25">
      <c r="A24" s="981" t="s">
        <v>278</v>
      </c>
      <c r="B24" s="981" t="s">
        <v>48</v>
      </c>
      <c r="C24" s="981" t="s">
        <v>292</v>
      </c>
      <c r="D24" s="981">
        <v>17</v>
      </c>
      <c r="E24" s="981"/>
      <c r="F24" s="981">
        <v>1</v>
      </c>
      <c r="G24" s="981">
        <v>16</v>
      </c>
      <c r="H24" s="981"/>
    </row>
    <row r="25" spans="1:8" x14ac:dyDescent="0.25">
      <c r="A25" s="981" t="s">
        <v>278</v>
      </c>
      <c r="B25" s="981" t="s">
        <v>49</v>
      </c>
      <c r="C25" s="981" t="s">
        <v>298</v>
      </c>
      <c r="D25" s="981">
        <v>20</v>
      </c>
      <c r="E25" s="981"/>
      <c r="F25" s="981">
        <v>5</v>
      </c>
      <c r="G25" s="981">
        <v>14</v>
      </c>
      <c r="H25" s="981">
        <v>1</v>
      </c>
    </row>
    <row r="26" spans="1:8" x14ac:dyDescent="0.25">
      <c r="A26" s="981" t="s">
        <v>278</v>
      </c>
      <c r="B26" s="981" t="s">
        <v>50</v>
      </c>
      <c r="C26" s="981" t="s">
        <v>315</v>
      </c>
      <c r="D26" s="981">
        <v>16</v>
      </c>
      <c r="E26" s="981">
        <v>2</v>
      </c>
      <c r="F26" s="981">
        <v>3</v>
      </c>
      <c r="G26" s="981">
        <v>8</v>
      </c>
      <c r="H26" s="981">
        <v>3</v>
      </c>
    </row>
    <row r="27" spans="1:8" x14ac:dyDescent="0.25">
      <c r="A27" s="981" t="s">
        <v>278</v>
      </c>
      <c r="B27" s="981" t="s">
        <v>51</v>
      </c>
      <c r="C27" s="981" t="s">
        <v>299</v>
      </c>
      <c r="D27" s="981">
        <v>15</v>
      </c>
      <c r="E27" s="981"/>
      <c r="F27" s="981">
        <v>1</v>
      </c>
      <c r="G27" s="981">
        <v>14</v>
      </c>
      <c r="H27" s="981"/>
    </row>
    <row r="28" spans="1:8" x14ac:dyDescent="0.25">
      <c r="A28" s="981" t="s">
        <v>278</v>
      </c>
      <c r="B28" s="981" t="s">
        <v>52</v>
      </c>
      <c r="C28" s="981" t="s">
        <v>300</v>
      </c>
      <c r="D28" s="981">
        <v>24</v>
      </c>
      <c r="E28" s="981">
        <v>1</v>
      </c>
      <c r="F28" s="981">
        <v>5</v>
      </c>
      <c r="G28" s="981">
        <v>16</v>
      </c>
      <c r="H28" s="981">
        <v>2</v>
      </c>
    </row>
    <row r="29" spans="1:8" x14ac:dyDescent="0.25">
      <c r="A29" s="981" t="s">
        <v>278</v>
      </c>
      <c r="B29" s="981" t="s">
        <v>53</v>
      </c>
      <c r="C29" s="981" t="s">
        <v>310</v>
      </c>
      <c r="D29" s="981">
        <v>8</v>
      </c>
      <c r="E29" s="981">
        <v>2</v>
      </c>
      <c r="F29" s="981">
        <v>2</v>
      </c>
      <c r="G29" s="981">
        <v>4</v>
      </c>
      <c r="H29" s="981"/>
    </row>
    <row r="30" spans="1:8" x14ac:dyDescent="0.25">
      <c r="A30" s="981" t="s">
        <v>278</v>
      </c>
      <c r="B30" s="981" t="s">
        <v>54</v>
      </c>
      <c r="C30" s="981" t="s">
        <v>301</v>
      </c>
      <c r="D30" s="981">
        <v>21</v>
      </c>
      <c r="E30" s="981"/>
      <c r="F30" s="981">
        <v>3</v>
      </c>
      <c r="G30" s="981">
        <v>16</v>
      </c>
      <c r="H30" s="981">
        <v>2</v>
      </c>
    </row>
    <row r="31" spans="1:8" x14ac:dyDescent="0.25">
      <c r="A31" s="981" t="s">
        <v>278</v>
      </c>
      <c r="B31" s="981" t="s">
        <v>55</v>
      </c>
      <c r="C31" s="981" t="s">
        <v>302</v>
      </c>
      <c r="D31" s="981">
        <v>17</v>
      </c>
      <c r="E31" s="981"/>
      <c r="F31" s="981">
        <v>1</v>
      </c>
      <c r="G31" s="981">
        <v>16</v>
      </c>
      <c r="H31" s="981"/>
    </row>
    <row r="32" spans="1:8" x14ac:dyDescent="0.25">
      <c r="A32" s="981" t="s">
        <v>278</v>
      </c>
      <c r="B32" s="981" t="s">
        <v>56</v>
      </c>
      <c r="C32" s="981" t="s">
        <v>303</v>
      </c>
      <c r="D32" s="981">
        <v>9</v>
      </c>
      <c r="E32" s="981">
        <v>1</v>
      </c>
      <c r="F32" s="981">
        <v>1</v>
      </c>
      <c r="G32" s="981">
        <v>7</v>
      </c>
      <c r="H32" s="981"/>
    </row>
    <row r="33" spans="1:8" x14ac:dyDescent="0.25">
      <c r="A33" s="981" t="s">
        <v>278</v>
      </c>
      <c r="B33" s="981" t="s">
        <v>57</v>
      </c>
      <c r="C33" s="981" t="s">
        <v>304</v>
      </c>
      <c r="D33" s="981">
        <v>23</v>
      </c>
      <c r="E33" s="981">
        <v>1</v>
      </c>
      <c r="F33" s="981">
        <v>7</v>
      </c>
      <c r="G33" s="981">
        <v>14</v>
      </c>
      <c r="H33" s="981">
        <v>1</v>
      </c>
    </row>
    <row r="34" spans="1:8" x14ac:dyDescent="0.25">
      <c r="A34" s="981" t="s">
        <v>278</v>
      </c>
      <c r="B34" s="981" t="s">
        <v>58</v>
      </c>
      <c r="C34" s="981" t="s">
        <v>305</v>
      </c>
      <c r="D34" s="981">
        <v>16</v>
      </c>
      <c r="E34" s="981"/>
      <c r="F34" s="981">
        <v>6</v>
      </c>
      <c r="G34" s="981">
        <v>10</v>
      </c>
      <c r="H34" s="981"/>
    </row>
    <row r="35" spans="1:8" x14ac:dyDescent="0.25">
      <c r="A35" s="981" t="s">
        <v>278</v>
      </c>
      <c r="B35" s="981" t="s">
        <v>59</v>
      </c>
      <c r="C35" s="981" t="s">
        <v>311</v>
      </c>
      <c r="D35" s="981">
        <v>7</v>
      </c>
      <c r="E35" s="981">
        <v>1</v>
      </c>
      <c r="F35" s="981">
        <v>1</v>
      </c>
      <c r="G35" s="981">
        <v>4</v>
      </c>
      <c r="H35" s="981">
        <v>1</v>
      </c>
    </row>
    <row r="36" spans="1:8" x14ac:dyDescent="0.25">
      <c r="A36" s="981" t="s">
        <v>278</v>
      </c>
      <c r="B36" s="981" t="s">
        <v>60</v>
      </c>
      <c r="C36" s="981" t="s">
        <v>312</v>
      </c>
      <c r="D36" s="981">
        <v>12</v>
      </c>
      <c r="E36" s="981"/>
      <c r="F36" s="981">
        <v>2</v>
      </c>
      <c r="G36" s="981">
        <v>9</v>
      </c>
      <c r="H36" s="981">
        <v>1</v>
      </c>
    </row>
    <row r="37" spans="1:8" x14ac:dyDescent="0.25">
      <c r="A37" s="981" t="s">
        <v>259</v>
      </c>
      <c r="B37" s="981" t="s">
        <v>31</v>
      </c>
      <c r="C37" s="981" t="s">
        <v>306</v>
      </c>
      <c r="D37" s="981">
        <v>18</v>
      </c>
      <c r="E37" s="981">
        <v>1</v>
      </c>
      <c r="F37" s="981">
        <v>3</v>
      </c>
      <c r="G37" s="981">
        <v>8</v>
      </c>
      <c r="H37" s="981">
        <v>6</v>
      </c>
    </row>
    <row r="38" spans="1:8" x14ac:dyDescent="0.25">
      <c r="A38" s="981" t="s">
        <v>259</v>
      </c>
      <c r="B38" s="981" t="s">
        <v>32</v>
      </c>
      <c r="C38" s="981" t="s">
        <v>307</v>
      </c>
      <c r="D38" s="981">
        <v>37</v>
      </c>
      <c r="E38" s="981"/>
      <c r="F38" s="981">
        <v>5</v>
      </c>
      <c r="G38" s="981">
        <v>31</v>
      </c>
      <c r="H38" s="981">
        <v>1</v>
      </c>
    </row>
    <row r="39" spans="1:8" x14ac:dyDescent="0.25">
      <c r="A39" s="981" t="s">
        <v>259</v>
      </c>
      <c r="B39" s="981" t="s">
        <v>33</v>
      </c>
      <c r="C39" s="981" t="s">
        <v>313</v>
      </c>
      <c r="D39" s="981">
        <v>12</v>
      </c>
      <c r="E39" s="981"/>
      <c r="F39" s="981"/>
      <c r="G39" s="981">
        <v>11</v>
      </c>
      <c r="H39" s="981">
        <v>1</v>
      </c>
    </row>
    <row r="40" spans="1:8" x14ac:dyDescent="0.25">
      <c r="A40" s="981" t="s">
        <v>259</v>
      </c>
      <c r="B40" s="981" t="s">
        <v>34</v>
      </c>
      <c r="C40" s="981" t="s">
        <v>308</v>
      </c>
      <c r="D40" s="981">
        <v>48</v>
      </c>
      <c r="E40" s="981">
        <v>1</v>
      </c>
      <c r="F40" s="981">
        <v>26</v>
      </c>
      <c r="G40" s="981">
        <v>21</v>
      </c>
      <c r="H40" s="981"/>
    </row>
    <row r="41" spans="1:8" x14ac:dyDescent="0.25">
      <c r="A41" s="981" t="s">
        <v>259</v>
      </c>
      <c r="B41" s="981" t="s">
        <v>262</v>
      </c>
      <c r="C41" s="981" t="s">
        <v>309</v>
      </c>
      <c r="D41" s="981">
        <v>21</v>
      </c>
      <c r="E41" s="981">
        <v>3</v>
      </c>
      <c r="F41" s="981">
        <v>1</v>
      </c>
      <c r="G41" s="981">
        <v>12</v>
      </c>
      <c r="H41" s="981">
        <v>5</v>
      </c>
    </row>
    <row r="42" spans="1:8" x14ac:dyDescent="0.25">
      <c r="A42" s="981" t="s">
        <v>259</v>
      </c>
      <c r="B42" s="981" t="s">
        <v>35</v>
      </c>
      <c r="C42" s="981" t="s">
        <v>287</v>
      </c>
      <c r="D42" s="981">
        <v>5</v>
      </c>
      <c r="E42" s="981"/>
      <c r="F42" s="981">
        <v>2</v>
      </c>
      <c r="G42" s="981">
        <v>3</v>
      </c>
      <c r="H42" s="981"/>
    </row>
    <row r="43" spans="1:8" x14ac:dyDescent="0.25">
      <c r="A43" s="981" t="s">
        <v>259</v>
      </c>
      <c r="B43" s="981" t="s">
        <v>36</v>
      </c>
      <c r="C43" s="981" t="s">
        <v>288</v>
      </c>
      <c r="D43" s="981">
        <v>29</v>
      </c>
      <c r="E43" s="981">
        <v>1</v>
      </c>
      <c r="F43" s="981">
        <v>8</v>
      </c>
      <c r="G43" s="981">
        <v>20</v>
      </c>
      <c r="H43" s="981"/>
    </row>
    <row r="44" spans="1:8" x14ac:dyDescent="0.25">
      <c r="A44" s="981" t="s">
        <v>259</v>
      </c>
      <c r="B44" s="981" t="s">
        <v>37</v>
      </c>
      <c r="C44" s="981" t="s">
        <v>314</v>
      </c>
      <c r="D44" s="981">
        <v>22</v>
      </c>
      <c r="E44" s="981">
        <v>1</v>
      </c>
      <c r="F44" s="981">
        <v>3</v>
      </c>
      <c r="G44" s="981">
        <v>8</v>
      </c>
      <c r="H44" s="981">
        <v>10</v>
      </c>
    </row>
    <row r="45" spans="1:8" x14ac:dyDescent="0.25">
      <c r="A45" s="981" t="s">
        <v>259</v>
      </c>
      <c r="B45" s="981" t="s">
        <v>38</v>
      </c>
      <c r="C45" s="981" t="s">
        <v>289</v>
      </c>
      <c r="D45" s="981">
        <v>11</v>
      </c>
      <c r="E45" s="981">
        <v>1</v>
      </c>
      <c r="F45" s="981"/>
      <c r="G45" s="981">
        <v>9</v>
      </c>
      <c r="H45" s="981">
        <v>1</v>
      </c>
    </row>
    <row r="46" spans="1:8" x14ac:dyDescent="0.25">
      <c r="A46" s="981" t="s">
        <v>259</v>
      </c>
      <c r="B46" s="981" t="s">
        <v>39</v>
      </c>
      <c r="C46" s="981" t="s">
        <v>316</v>
      </c>
      <c r="D46" s="981">
        <v>5</v>
      </c>
      <c r="E46" s="981"/>
      <c r="F46" s="981"/>
      <c r="G46" s="981">
        <v>3</v>
      </c>
      <c r="H46" s="981">
        <v>2</v>
      </c>
    </row>
    <row r="47" spans="1:8" x14ac:dyDescent="0.25">
      <c r="A47" s="981" t="s">
        <v>259</v>
      </c>
      <c r="B47" s="981" t="s">
        <v>40</v>
      </c>
      <c r="C47" s="981" t="s">
        <v>290</v>
      </c>
      <c r="D47" s="981">
        <v>8</v>
      </c>
      <c r="E47" s="981"/>
      <c r="F47" s="981"/>
      <c r="G47" s="981">
        <v>8</v>
      </c>
      <c r="H47" s="981"/>
    </row>
    <row r="48" spans="1:8" x14ac:dyDescent="0.25">
      <c r="A48" s="981" t="s">
        <v>259</v>
      </c>
      <c r="B48" s="981" t="s">
        <v>41</v>
      </c>
      <c r="C48" s="981" t="s">
        <v>291</v>
      </c>
      <c r="D48" s="981">
        <v>2</v>
      </c>
      <c r="E48" s="981"/>
      <c r="F48" s="981"/>
      <c r="G48" s="981">
        <v>2</v>
      </c>
      <c r="H48" s="981"/>
    </row>
    <row r="49" spans="1:8" x14ac:dyDescent="0.25">
      <c r="A49" s="981" t="s">
        <v>259</v>
      </c>
      <c r="B49" s="981" t="s">
        <v>42</v>
      </c>
      <c r="C49" s="981" t="s">
        <v>293</v>
      </c>
      <c r="D49" s="981">
        <v>16</v>
      </c>
      <c r="E49" s="981">
        <v>1</v>
      </c>
      <c r="F49" s="981">
        <v>4</v>
      </c>
      <c r="G49" s="981">
        <v>9</v>
      </c>
      <c r="H49" s="981">
        <v>2</v>
      </c>
    </row>
    <row r="50" spans="1:8" x14ac:dyDescent="0.25">
      <c r="A50" s="981" t="s">
        <v>259</v>
      </c>
      <c r="B50" s="981" t="s">
        <v>43</v>
      </c>
      <c r="C50" s="981" t="s">
        <v>318</v>
      </c>
      <c r="D50" s="981">
        <v>30</v>
      </c>
      <c r="E50" s="981">
        <v>2</v>
      </c>
      <c r="F50" s="981">
        <v>6</v>
      </c>
      <c r="G50" s="981">
        <v>20</v>
      </c>
      <c r="H50" s="981">
        <v>2</v>
      </c>
    </row>
    <row r="51" spans="1:8" x14ac:dyDescent="0.25">
      <c r="A51" s="981" t="s">
        <v>259</v>
      </c>
      <c r="B51" s="981" t="s">
        <v>124</v>
      </c>
      <c r="C51" s="981" t="s">
        <v>317</v>
      </c>
      <c r="D51" s="981">
        <v>28</v>
      </c>
      <c r="E51" s="981">
        <v>4</v>
      </c>
      <c r="F51" s="981">
        <v>6</v>
      </c>
      <c r="G51" s="981">
        <v>18</v>
      </c>
      <c r="H51" s="981"/>
    </row>
    <row r="52" spans="1:8" x14ac:dyDescent="0.25">
      <c r="A52" s="981" t="s">
        <v>259</v>
      </c>
      <c r="B52" s="981" t="s">
        <v>44</v>
      </c>
      <c r="C52" s="981" t="s">
        <v>294</v>
      </c>
      <c r="D52" s="981">
        <v>80</v>
      </c>
      <c r="E52" s="981">
        <v>1</v>
      </c>
      <c r="F52" s="981">
        <v>12</v>
      </c>
      <c r="G52" s="981">
        <v>64</v>
      </c>
      <c r="H52" s="981">
        <v>3</v>
      </c>
    </row>
    <row r="53" spans="1:8" x14ac:dyDescent="0.25">
      <c r="A53" s="981" t="s">
        <v>259</v>
      </c>
      <c r="B53" s="981" t="s">
        <v>45</v>
      </c>
      <c r="C53" s="981" t="s">
        <v>295</v>
      </c>
      <c r="D53" s="981">
        <v>7</v>
      </c>
      <c r="E53" s="981">
        <v>1</v>
      </c>
      <c r="F53" s="981"/>
      <c r="G53" s="981">
        <v>6</v>
      </c>
      <c r="H53" s="981"/>
    </row>
    <row r="54" spans="1:8" x14ac:dyDescent="0.25">
      <c r="A54" s="981" t="s">
        <v>259</v>
      </c>
      <c r="B54" s="981" t="s">
        <v>46</v>
      </c>
      <c r="C54" s="981" t="s">
        <v>296</v>
      </c>
      <c r="D54" s="981">
        <v>3</v>
      </c>
      <c r="E54" s="981"/>
      <c r="F54" s="981">
        <v>1</v>
      </c>
      <c r="G54" s="981">
        <v>2</v>
      </c>
      <c r="H54" s="981"/>
    </row>
    <row r="55" spans="1:8" x14ac:dyDescent="0.25">
      <c r="A55" s="981" t="s">
        <v>259</v>
      </c>
      <c r="B55" s="981" t="s">
        <v>47</v>
      </c>
      <c r="C55" s="981" t="s">
        <v>297</v>
      </c>
      <c r="D55" s="981">
        <v>19</v>
      </c>
      <c r="E55" s="981"/>
      <c r="F55" s="981">
        <v>5</v>
      </c>
      <c r="G55" s="981">
        <v>13</v>
      </c>
      <c r="H55" s="981">
        <v>1</v>
      </c>
    </row>
    <row r="56" spans="1:8" x14ac:dyDescent="0.25">
      <c r="A56" s="981" t="s">
        <v>259</v>
      </c>
      <c r="B56" s="981" t="s">
        <v>48</v>
      </c>
      <c r="C56" s="981" t="s">
        <v>292</v>
      </c>
      <c r="D56" s="981">
        <v>17</v>
      </c>
      <c r="E56" s="981"/>
      <c r="F56" s="981">
        <v>1</v>
      </c>
      <c r="G56" s="981">
        <v>16</v>
      </c>
      <c r="H56" s="981"/>
    </row>
    <row r="57" spans="1:8" x14ac:dyDescent="0.25">
      <c r="A57" s="981" t="s">
        <v>259</v>
      </c>
      <c r="B57" s="981" t="s">
        <v>49</v>
      </c>
      <c r="C57" s="981" t="s">
        <v>298</v>
      </c>
      <c r="D57" s="981">
        <v>20</v>
      </c>
      <c r="E57" s="981"/>
      <c r="F57" s="981">
        <v>4</v>
      </c>
      <c r="G57" s="981">
        <v>15</v>
      </c>
      <c r="H57" s="981">
        <v>1</v>
      </c>
    </row>
    <row r="58" spans="1:8" x14ac:dyDescent="0.25">
      <c r="A58" s="981" t="s">
        <v>259</v>
      </c>
      <c r="B58" s="981" t="s">
        <v>50</v>
      </c>
      <c r="C58" s="981" t="s">
        <v>315</v>
      </c>
      <c r="D58" s="981">
        <v>18</v>
      </c>
      <c r="E58" s="981">
        <v>2</v>
      </c>
      <c r="F58" s="981">
        <v>4</v>
      </c>
      <c r="G58" s="981">
        <v>8</v>
      </c>
      <c r="H58" s="981">
        <v>4</v>
      </c>
    </row>
    <row r="59" spans="1:8" x14ac:dyDescent="0.25">
      <c r="A59" s="981" t="s">
        <v>259</v>
      </c>
      <c r="B59" s="981" t="s">
        <v>51</v>
      </c>
      <c r="C59" s="981" t="s">
        <v>299</v>
      </c>
      <c r="D59" s="981">
        <v>16</v>
      </c>
      <c r="E59" s="981"/>
      <c r="F59" s="981">
        <v>1</v>
      </c>
      <c r="G59" s="981">
        <v>15</v>
      </c>
      <c r="H59" s="981"/>
    </row>
    <row r="60" spans="1:8" x14ac:dyDescent="0.25">
      <c r="A60" s="981" t="s">
        <v>259</v>
      </c>
      <c r="B60" s="981" t="s">
        <v>52</v>
      </c>
      <c r="C60" s="981" t="s">
        <v>300</v>
      </c>
      <c r="D60" s="981">
        <v>22</v>
      </c>
      <c r="E60" s="981">
        <v>1</v>
      </c>
      <c r="F60" s="981">
        <v>4</v>
      </c>
      <c r="G60" s="981">
        <v>16</v>
      </c>
      <c r="H60" s="981">
        <v>1</v>
      </c>
    </row>
    <row r="61" spans="1:8" x14ac:dyDescent="0.25">
      <c r="A61" s="981" t="s">
        <v>259</v>
      </c>
      <c r="B61" s="981" t="s">
        <v>53</v>
      </c>
      <c r="C61" s="981" t="s">
        <v>310</v>
      </c>
      <c r="D61" s="981">
        <v>9</v>
      </c>
      <c r="E61" s="981">
        <v>2</v>
      </c>
      <c r="F61" s="981">
        <v>3</v>
      </c>
      <c r="G61" s="981">
        <v>4</v>
      </c>
      <c r="H61" s="981"/>
    </row>
    <row r="62" spans="1:8" x14ac:dyDescent="0.25">
      <c r="A62" s="981" t="s">
        <v>259</v>
      </c>
      <c r="B62" s="981" t="s">
        <v>54</v>
      </c>
      <c r="C62" s="981" t="s">
        <v>301</v>
      </c>
      <c r="D62" s="981">
        <v>19</v>
      </c>
      <c r="E62" s="981"/>
      <c r="F62" s="981">
        <v>2</v>
      </c>
      <c r="G62" s="981">
        <v>17</v>
      </c>
      <c r="H62" s="981"/>
    </row>
    <row r="63" spans="1:8" x14ac:dyDescent="0.25">
      <c r="A63" s="981" t="s">
        <v>259</v>
      </c>
      <c r="B63" s="981" t="s">
        <v>55</v>
      </c>
      <c r="C63" s="981" t="s">
        <v>302</v>
      </c>
      <c r="D63" s="981">
        <v>18</v>
      </c>
      <c r="E63" s="981"/>
      <c r="F63" s="981">
        <v>2</v>
      </c>
      <c r="G63" s="981">
        <v>16</v>
      </c>
      <c r="H63" s="981"/>
    </row>
    <row r="64" spans="1:8" x14ac:dyDescent="0.25">
      <c r="A64" s="981" t="s">
        <v>259</v>
      </c>
      <c r="B64" s="981" t="s">
        <v>56</v>
      </c>
      <c r="C64" s="981" t="s">
        <v>303</v>
      </c>
      <c r="D64" s="981">
        <v>9</v>
      </c>
      <c r="E64" s="981">
        <v>1</v>
      </c>
      <c r="F64" s="981">
        <v>1</v>
      </c>
      <c r="G64" s="981">
        <v>7</v>
      </c>
      <c r="H64" s="981"/>
    </row>
    <row r="65" spans="1:8" x14ac:dyDescent="0.25">
      <c r="A65" s="981" t="s">
        <v>259</v>
      </c>
      <c r="B65" s="981" t="s">
        <v>57</v>
      </c>
      <c r="C65" s="981" t="s">
        <v>304</v>
      </c>
      <c r="D65" s="981">
        <v>23</v>
      </c>
      <c r="E65" s="981">
        <v>1</v>
      </c>
      <c r="F65" s="981">
        <v>7</v>
      </c>
      <c r="G65" s="981">
        <v>14</v>
      </c>
      <c r="H65" s="981">
        <v>1</v>
      </c>
    </row>
    <row r="66" spans="1:8" x14ac:dyDescent="0.25">
      <c r="A66" s="981" t="s">
        <v>259</v>
      </c>
      <c r="B66" s="981" t="s">
        <v>58</v>
      </c>
      <c r="C66" s="981" t="s">
        <v>305</v>
      </c>
      <c r="D66" s="981">
        <v>15</v>
      </c>
      <c r="E66" s="981"/>
      <c r="F66" s="981">
        <v>6</v>
      </c>
      <c r="G66" s="981">
        <v>9</v>
      </c>
      <c r="H66" s="981"/>
    </row>
    <row r="67" spans="1:8" x14ac:dyDescent="0.25">
      <c r="A67" s="981" t="s">
        <v>259</v>
      </c>
      <c r="B67" s="981" t="s">
        <v>59</v>
      </c>
      <c r="C67" s="981" t="s">
        <v>311</v>
      </c>
      <c r="D67" s="981">
        <v>7</v>
      </c>
      <c r="E67" s="981">
        <v>1</v>
      </c>
      <c r="F67" s="981">
        <v>1</v>
      </c>
      <c r="G67" s="981">
        <v>4</v>
      </c>
      <c r="H67" s="981">
        <v>1</v>
      </c>
    </row>
    <row r="68" spans="1:8" x14ac:dyDescent="0.25">
      <c r="A68" s="981" t="s">
        <v>259</v>
      </c>
      <c r="B68" s="981" t="s">
        <v>60</v>
      </c>
      <c r="C68" s="981" t="s">
        <v>312</v>
      </c>
      <c r="D68" s="981">
        <v>11</v>
      </c>
      <c r="E68" s="981"/>
      <c r="F68" s="981">
        <v>2</v>
      </c>
      <c r="G68" s="981">
        <v>8</v>
      </c>
      <c r="H68" s="981">
        <v>1</v>
      </c>
    </row>
    <row r="69" spans="1:8" x14ac:dyDescent="0.25">
      <c r="A69" s="981" t="s">
        <v>258</v>
      </c>
      <c r="B69" s="981" t="s">
        <v>31</v>
      </c>
      <c r="C69" s="981" t="s">
        <v>306</v>
      </c>
      <c r="D69" s="981">
        <v>19</v>
      </c>
      <c r="E69" s="981">
        <v>2</v>
      </c>
      <c r="F69" s="981">
        <v>3</v>
      </c>
      <c r="G69" s="981">
        <v>8</v>
      </c>
      <c r="H69" s="981">
        <v>6</v>
      </c>
    </row>
    <row r="70" spans="1:8" x14ac:dyDescent="0.25">
      <c r="A70" s="981" t="s">
        <v>258</v>
      </c>
      <c r="B70" s="981" t="s">
        <v>32</v>
      </c>
      <c r="C70" s="981" t="s">
        <v>307</v>
      </c>
      <c r="D70" s="981">
        <v>37</v>
      </c>
      <c r="E70" s="981"/>
      <c r="F70" s="981">
        <v>5</v>
      </c>
      <c r="G70" s="981">
        <v>31</v>
      </c>
      <c r="H70" s="981">
        <v>1</v>
      </c>
    </row>
    <row r="71" spans="1:8" x14ac:dyDescent="0.25">
      <c r="A71" s="981" t="s">
        <v>258</v>
      </c>
      <c r="B71" s="981" t="s">
        <v>33</v>
      </c>
      <c r="C71" s="981" t="s">
        <v>313</v>
      </c>
      <c r="D71" s="981">
        <v>13</v>
      </c>
      <c r="E71" s="981"/>
      <c r="F71" s="981">
        <v>1</v>
      </c>
      <c r="G71" s="981">
        <v>11</v>
      </c>
      <c r="H71" s="981">
        <v>1</v>
      </c>
    </row>
    <row r="72" spans="1:8" x14ac:dyDescent="0.25">
      <c r="A72" s="981" t="s">
        <v>258</v>
      </c>
      <c r="B72" s="981" t="s">
        <v>34</v>
      </c>
      <c r="C72" s="981" t="s">
        <v>308</v>
      </c>
      <c r="D72" s="981">
        <v>51</v>
      </c>
      <c r="E72" s="981">
        <v>1</v>
      </c>
      <c r="F72" s="981">
        <v>25</v>
      </c>
      <c r="G72" s="981">
        <v>25</v>
      </c>
      <c r="H72" s="981"/>
    </row>
    <row r="73" spans="1:8" x14ac:dyDescent="0.25">
      <c r="A73" s="981" t="s">
        <v>258</v>
      </c>
      <c r="B73" s="981" t="s">
        <v>262</v>
      </c>
      <c r="C73" s="981" t="s">
        <v>309</v>
      </c>
      <c r="D73" s="981">
        <v>25</v>
      </c>
      <c r="E73" s="981">
        <v>4</v>
      </c>
      <c r="F73" s="981">
        <v>3</v>
      </c>
      <c r="G73" s="981">
        <v>12</v>
      </c>
      <c r="H73" s="981">
        <v>6</v>
      </c>
    </row>
    <row r="74" spans="1:8" x14ac:dyDescent="0.25">
      <c r="A74" s="981" t="s">
        <v>258</v>
      </c>
      <c r="B74" s="981" t="s">
        <v>35</v>
      </c>
      <c r="C74" s="981" t="s">
        <v>287</v>
      </c>
      <c r="D74" s="981">
        <v>5</v>
      </c>
      <c r="E74" s="981"/>
      <c r="F74" s="981">
        <v>2</v>
      </c>
      <c r="G74" s="981">
        <v>3</v>
      </c>
      <c r="H74" s="981"/>
    </row>
    <row r="75" spans="1:8" x14ac:dyDescent="0.25">
      <c r="A75" s="981" t="s">
        <v>258</v>
      </c>
      <c r="B75" s="981" t="s">
        <v>36</v>
      </c>
      <c r="C75" s="981" t="s">
        <v>288</v>
      </c>
      <c r="D75" s="981">
        <v>30</v>
      </c>
      <c r="E75" s="981">
        <v>1</v>
      </c>
      <c r="F75" s="981">
        <v>7</v>
      </c>
      <c r="G75" s="981">
        <v>22</v>
      </c>
      <c r="H75" s="981"/>
    </row>
    <row r="76" spans="1:8" x14ac:dyDescent="0.25">
      <c r="A76" s="981" t="s">
        <v>258</v>
      </c>
      <c r="B76" s="981" t="s">
        <v>37</v>
      </c>
      <c r="C76" s="981" t="s">
        <v>314</v>
      </c>
      <c r="D76" s="981">
        <v>20</v>
      </c>
      <c r="E76" s="981">
        <v>2</v>
      </c>
      <c r="F76" s="981">
        <v>3</v>
      </c>
      <c r="G76" s="981">
        <v>7</v>
      </c>
      <c r="H76" s="981">
        <v>8</v>
      </c>
    </row>
    <row r="77" spans="1:8" x14ac:dyDescent="0.25">
      <c r="A77" s="981" t="s">
        <v>258</v>
      </c>
      <c r="B77" s="981" t="s">
        <v>38</v>
      </c>
      <c r="C77" s="981" t="s">
        <v>289</v>
      </c>
      <c r="D77" s="981">
        <v>11</v>
      </c>
      <c r="E77" s="981">
        <v>1</v>
      </c>
      <c r="F77" s="981"/>
      <c r="G77" s="981">
        <v>9</v>
      </c>
      <c r="H77" s="981">
        <v>1</v>
      </c>
    </row>
    <row r="78" spans="1:8" x14ac:dyDescent="0.25">
      <c r="A78" s="981" t="s">
        <v>258</v>
      </c>
      <c r="B78" s="981" t="s">
        <v>39</v>
      </c>
      <c r="C78" s="981" t="s">
        <v>316</v>
      </c>
      <c r="D78" s="981">
        <v>5</v>
      </c>
      <c r="E78" s="981"/>
      <c r="F78" s="981"/>
      <c r="G78" s="981">
        <v>3</v>
      </c>
      <c r="H78" s="981">
        <v>2</v>
      </c>
    </row>
    <row r="79" spans="1:8" x14ac:dyDescent="0.25">
      <c r="A79" s="981" t="s">
        <v>258</v>
      </c>
      <c r="B79" s="981" t="s">
        <v>40</v>
      </c>
      <c r="C79" s="981" t="s">
        <v>290</v>
      </c>
      <c r="D79" s="981">
        <v>9</v>
      </c>
      <c r="E79" s="981"/>
      <c r="F79" s="981"/>
      <c r="G79" s="981">
        <v>9</v>
      </c>
      <c r="H79" s="981"/>
    </row>
    <row r="80" spans="1:8" x14ac:dyDescent="0.25">
      <c r="A80" s="981" t="s">
        <v>258</v>
      </c>
      <c r="B80" s="981" t="s">
        <v>41</v>
      </c>
      <c r="C80" s="981" t="s">
        <v>291</v>
      </c>
      <c r="D80" s="981">
        <v>2</v>
      </c>
      <c r="E80" s="981"/>
      <c r="F80" s="981"/>
      <c r="G80" s="981">
        <v>2</v>
      </c>
      <c r="H80" s="981"/>
    </row>
    <row r="81" spans="1:8" x14ac:dyDescent="0.25">
      <c r="A81" s="981" t="s">
        <v>258</v>
      </c>
      <c r="B81" s="981" t="s">
        <v>42</v>
      </c>
      <c r="C81" s="981" t="s">
        <v>293</v>
      </c>
      <c r="D81" s="981">
        <v>17</v>
      </c>
      <c r="E81" s="981">
        <v>1</v>
      </c>
      <c r="F81" s="981">
        <v>4</v>
      </c>
      <c r="G81" s="981">
        <v>10</v>
      </c>
      <c r="H81" s="981">
        <v>2</v>
      </c>
    </row>
    <row r="82" spans="1:8" x14ac:dyDescent="0.25">
      <c r="A82" s="981" t="s">
        <v>258</v>
      </c>
      <c r="B82" s="981" t="s">
        <v>43</v>
      </c>
      <c r="C82" s="981" t="s">
        <v>318</v>
      </c>
      <c r="D82" s="981">
        <v>31</v>
      </c>
      <c r="E82" s="981">
        <v>2</v>
      </c>
      <c r="F82" s="981">
        <v>6</v>
      </c>
      <c r="G82" s="981">
        <v>21</v>
      </c>
      <c r="H82" s="981">
        <v>2</v>
      </c>
    </row>
    <row r="83" spans="1:8" x14ac:dyDescent="0.25">
      <c r="A83" s="981" t="s">
        <v>258</v>
      </c>
      <c r="B83" s="981" t="s">
        <v>124</v>
      </c>
      <c r="C83" s="981" t="s">
        <v>317</v>
      </c>
      <c r="D83" s="981">
        <v>28</v>
      </c>
      <c r="E83" s="981">
        <v>4</v>
      </c>
      <c r="F83" s="981">
        <v>6</v>
      </c>
      <c r="G83" s="981">
        <v>18</v>
      </c>
      <c r="H83" s="981"/>
    </row>
    <row r="84" spans="1:8" x14ac:dyDescent="0.25">
      <c r="A84" s="981" t="s">
        <v>258</v>
      </c>
      <c r="B84" s="981" t="s">
        <v>44</v>
      </c>
      <c r="C84" s="981" t="s">
        <v>294</v>
      </c>
      <c r="D84" s="981">
        <v>88</v>
      </c>
      <c r="E84" s="981">
        <v>1</v>
      </c>
      <c r="F84" s="981">
        <v>15</v>
      </c>
      <c r="G84" s="981">
        <v>68</v>
      </c>
      <c r="H84" s="981">
        <v>4</v>
      </c>
    </row>
    <row r="85" spans="1:8" x14ac:dyDescent="0.25">
      <c r="A85" s="981" t="s">
        <v>258</v>
      </c>
      <c r="B85" s="981" t="s">
        <v>45</v>
      </c>
      <c r="C85" s="981" t="s">
        <v>295</v>
      </c>
      <c r="D85" s="981">
        <v>8</v>
      </c>
      <c r="E85" s="981">
        <v>1</v>
      </c>
      <c r="F85" s="981"/>
      <c r="G85" s="981">
        <v>7</v>
      </c>
      <c r="H85" s="981"/>
    </row>
    <row r="86" spans="1:8" x14ac:dyDescent="0.25">
      <c r="A86" s="981" t="s">
        <v>258</v>
      </c>
      <c r="B86" s="981" t="s">
        <v>46</v>
      </c>
      <c r="C86" s="981" t="s">
        <v>296</v>
      </c>
      <c r="D86" s="981">
        <v>3</v>
      </c>
      <c r="E86" s="981"/>
      <c r="F86" s="981">
        <v>1</v>
      </c>
      <c r="G86" s="981">
        <v>2</v>
      </c>
      <c r="H86" s="981"/>
    </row>
    <row r="87" spans="1:8" x14ac:dyDescent="0.25">
      <c r="A87" s="981" t="s">
        <v>258</v>
      </c>
      <c r="B87" s="981" t="s">
        <v>47</v>
      </c>
      <c r="C87" s="981" t="s">
        <v>297</v>
      </c>
      <c r="D87" s="981">
        <v>19</v>
      </c>
      <c r="E87" s="981"/>
      <c r="F87" s="981">
        <v>5</v>
      </c>
      <c r="G87" s="981">
        <v>13</v>
      </c>
      <c r="H87" s="981">
        <v>1</v>
      </c>
    </row>
    <row r="88" spans="1:8" x14ac:dyDescent="0.25">
      <c r="A88" s="981" t="s">
        <v>258</v>
      </c>
      <c r="B88" s="981" t="s">
        <v>48</v>
      </c>
      <c r="C88" s="981" t="s">
        <v>292</v>
      </c>
      <c r="D88" s="981">
        <v>18</v>
      </c>
      <c r="E88" s="981"/>
      <c r="F88" s="981">
        <v>1</v>
      </c>
      <c r="G88" s="981">
        <v>17</v>
      </c>
      <c r="H88" s="981"/>
    </row>
    <row r="89" spans="1:8" x14ac:dyDescent="0.25">
      <c r="A89" s="981" t="s">
        <v>258</v>
      </c>
      <c r="B89" s="981" t="s">
        <v>49</v>
      </c>
      <c r="C89" s="981" t="s">
        <v>298</v>
      </c>
      <c r="D89" s="981">
        <v>20</v>
      </c>
      <c r="E89" s="981"/>
      <c r="F89" s="981">
        <v>3</v>
      </c>
      <c r="G89" s="981">
        <v>16</v>
      </c>
      <c r="H89" s="981">
        <v>1</v>
      </c>
    </row>
    <row r="90" spans="1:8" x14ac:dyDescent="0.25">
      <c r="A90" s="981" t="s">
        <v>258</v>
      </c>
      <c r="B90" s="981" t="s">
        <v>50</v>
      </c>
      <c r="C90" s="981" t="s">
        <v>315</v>
      </c>
      <c r="D90" s="981">
        <v>15</v>
      </c>
      <c r="E90" s="981">
        <v>2</v>
      </c>
      <c r="F90" s="981">
        <v>3</v>
      </c>
      <c r="G90" s="981">
        <v>8</v>
      </c>
      <c r="H90" s="981">
        <v>2</v>
      </c>
    </row>
    <row r="91" spans="1:8" x14ac:dyDescent="0.25">
      <c r="A91" s="981" t="s">
        <v>258</v>
      </c>
      <c r="B91" s="981" t="s">
        <v>51</v>
      </c>
      <c r="C91" s="981" t="s">
        <v>299</v>
      </c>
      <c r="D91" s="981">
        <v>15</v>
      </c>
      <c r="E91" s="981"/>
      <c r="F91" s="981">
        <v>1</v>
      </c>
      <c r="G91" s="981">
        <v>14</v>
      </c>
      <c r="H91" s="981"/>
    </row>
    <row r="92" spans="1:8" x14ac:dyDescent="0.25">
      <c r="A92" s="981" t="s">
        <v>258</v>
      </c>
      <c r="B92" s="981" t="s">
        <v>52</v>
      </c>
      <c r="C92" s="981" t="s">
        <v>300</v>
      </c>
      <c r="D92" s="981">
        <v>23</v>
      </c>
      <c r="E92" s="981">
        <v>1</v>
      </c>
      <c r="F92" s="981">
        <v>4</v>
      </c>
      <c r="G92" s="981">
        <v>16</v>
      </c>
      <c r="H92" s="981">
        <v>2</v>
      </c>
    </row>
    <row r="93" spans="1:8" x14ac:dyDescent="0.25">
      <c r="A93" s="981" t="s">
        <v>258</v>
      </c>
      <c r="B93" s="981" t="s">
        <v>53</v>
      </c>
      <c r="C93" s="981" t="s">
        <v>310</v>
      </c>
      <c r="D93" s="981">
        <v>10</v>
      </c>
      <c r="E93" s="981">
        <v>2</v>
      </c>
      <c r="F93" s="981">
        <v>4</v>
      </c>
      <c r="G93" s="981">
        <v>4</v>
      </c>
      <c r="H93" s="981"/>
    </row>
    <row r="94" spans="1:8" x14ac:dyDescent="0.25">
      <c r="A94" s="981" t="s">
        <v>258</v>
      </c>
      <c r="B94" s="981" t="s">
        <v>54</v>
      </c>
      <c r="C94" s="981" t="s">
        <v>301</v>
      </c>
      <c r="D94" s="981">
        <v>20</v>
      </c>
      <c r="E94" s="981"/>
      <c r="F94" s="981">
        <v>3</v>
      </c>
      <c r="G94" s="981">
        <v>17</v>
      </c>
      <c r="H94" s="981"/>
    </row>
    <row r="95" spans="1:8" x14ac:dyDescent="0.25">
      <c r="A95" s="981" t="s">
        <v>258</v>
      </c>
      <c r="B95" s="981" t="s">
        <v>55</v>
      </c>
      <c r="C95" s="981" t="s">
        <v>302</v>
      </c>
      <c r="D95" s="981">
        <v>18</v>
      </c>
      <c r="E95" s="981"/>
      <c r="F95" s="981">
        <v>2</v>
      </c>
      <c r="G95" s="981">
        <v>16</v>
      </c>
      <c r="H95" s="981"/>
    </row>
    <row r="96" spans="1:8" x14ac:dyDescent="0.25">
      <c r="A96" s="981" t="s">
        <v>258</v>
      </c>
      <c r="B96" s="981" t="s">
        <v>56</v>
      </c>
      <c r="C96" s="981" t="s">
        <v>303</v>
      </c>
      <c r="D96" s="981">
        <v>9</v>
      </c>
      <c r="E96" s="981">
        <v>1</v>
      </c>
      <c r="F96" s="981">
        <v>1</v>
      </c>
      <c r="G96" s="981">
        <v>7</v>
      </c>
      <c r="H96" s="981"/>
    </row>
    <row r="97" spans="1:8" x14ac:dyDescent="0.25">
      <c r="A97" s="981" t="s">
        <v>258</v>
      </c>
      <c r="B97" s="981" t="s">
        <v>57</v>
      </c>
      <c r="C97" s="981" t="s">
        <v>304</v>
      </c>
      <c r="D97" s="981">
        <v>24</v>
      </c>
      <c r="E97" s="981">
        <v>1</v>
      </c>
      <c r="F97" s="981">
        <v>8</v>
      </c>
      <c r="G97" s="981">
        <v>14</v>
      </c>
      <c r="H97" s="981">
        <v>1</v>
      </c>
    </row>
    <row r="98" spans="1:8" x14ac:dyDescent="0.25">
      <c r="A98" s="981" t="s">
        <v>258</v>
      </c>
      <c r="B98" s="981" t="s">
        <v>58</v>
      </c>
      <c r="C98" s="981" t="s">
        <v>305</v>
      </c>
      <c r="D98" s="981">
        <v>15</v>
      </c>
      <c r="E98" s="981"/>
      <c r="F98" s="981">
        <v>6</v>
      </c>
      <c r="G98" s="981">
        <v>9</v>
      </c>
      <c r="H98" s="981"/>
    </row>
    <row r="99" spans="1:8" x14ac:dyDescent="0.25">
      <c r="A99" s="981" t="s">
        <v>258</v>
      </c>
      <c r="B99" s="981" t="s">
        <v>59</v>
      </c>
      <c r="C99" s="981" t="s">
        <v>311</v>
      </c>
      <c r="D99" s="981">
        <v>7</v>
      </c>
      <c r="E99" s="981">
        <v>1</v>
      </c>
      <c r="F99" s="981">
        <v>1</v>
      </c>
      <c r="G99" s="981">
        <v>4</v>
      </c>
      <c r="H99" s="981">
        <v>1</v>
      </c>
    </row>
    <row r="100" spans="1:8" x14ac:dyDescent="0.25">
      <c r="A100" s="981" t="s">
        <v>258</v>
      </c>
      <c r="B100" s="981" t="s">
        <v>60</v>
      </c>
      <c r="C100" s="981" t="s">
        <v>312</v>
      </c>
      <c r="D100" s="981">
        <v>12</v>
      </c>
      <c r="E100" s="981"/>
      <c r="F100" s="981">
        <v>3</v>
      </c>
      <c r="G100" s="981">
        <v>8</v>
      </c>
      <c r="H100" s="981">
        <v>1</v>
      </c>
    </row>
  </sheetData>
  <pageMargins left="0.7" right="0.7" top="0.75" bottom="0.75" header="0.3" footer="0.3"/>
  <pageSetup paperSize="9" fitToHeight="50"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4:J100"/>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10" x14ac:dyDescent="0.25">
      <c r="A4" s="980" t="s">
        <v>334</v>
      </c>
      <c r="B4" s="980" t="s">
        <v>883</v>
      </c>
      <c r="C4" s="980" t="s">
        <v>884</v>
      </c>
      <c r="D4" s="980" t="s">
        <v>26</v>
      </c>
      <c r="E4" s="980" t="s">
        <v>465</v>
      </c>
      <c r="F4" s="980" t="s">
        <v>467</v>
      </c>
      <c r="G4" s="980" t="s">
        <v>468</v>
      </c>
      <c r="H4" s="980" t="s">
        <v>125</v>
      </c>
      <c r="I4" s="980" t="s">
        <v>194</v>
      </c>
      <c r="J4" s="980" t="s">
        <v>202</v>
      </c>
    </row>
    <row r="5" spans="1:10" x14ac:dyDescent="0.25">
      <c r="A5" s="981" t="s">
        <v>278</v>
      </c>
      <c r="B5" s="981" t="s">
        <v>31</v>
      </c>
      <c r="C5" s="981" t="s">
        <v>306</v>
      </c>
      <c r="D5" s="981">
        <v>15</v>
      </c>
      <c r="E5" s="981">
        <v>1</v>
      </c>
      <c r="F5" s="981">
        <v>1</v>
      </c>
      <c r="G5" s="981"/>
      <c r="H5" s="981">
        <v>8</v>
      </c>
      <c r="I5" s="981">
        <v>5</v>
      </c>
      <c r="J5" s="981"/>
    </row>
    <row r="6" spans="1:10" x14ac:dyDescent="0.25">
      <c r="A6" s="981" t="s">
        <v>278</v>
      </c>
      <c r="B6" s="981" t="s">
        <v>32</v>
      </c>
      <c r="C6" s="981" t="s">
        <v>307</v>
      </c>
      <c r="D6" s="981">
        <v>36</v>
      </c>
      <c r="E6" s="981"/>
      <c r="F6" s="981">
        <v>4</v>
      </c>
      <c r="G6" s="981"/>
      <c r="H6" s="981">
        <v>31</v>
      </c>
      <c r="I6" s="981">
        <v>1</v>
      </c>
      <c r="J6" s="981"/>
    </row>
    <row r="7" spans="1:10" x14ac:dyDescent="0.25">
      <c r="A7" s="981" t="s">
        <v>278</v>
      </c>
      <c r="B7" s="981" t="s">
        <v>33</v>
      </c>
      <c r="C7" s="981" t="s">
        <v>313</v>
      </c>
      <c r="D7" s="981">
        <v>12</v>
      </c>
      <c r="E7" s="981"/>
      <c r="F7" s="981"/>
      <c r="G7" s="981"/>
      <c r="H7" s="981">
        <v>11</v>
      </c>
      <c r="I7" s="981">
        <v>1</v>
      </c>
      <c r="J7" s="981"/>
    </row>
    <row r="8" spans="1:10" x14ac:dyDescent="0.25">
      <c r="A8" s="981" t="s">
        <v>278</v>
      </c>
      <c r="B8" s="981" t="s">
        <v>34</v>
      </c>
      <c r="C8" s="981" t="s">
        <v>308</v>
      </c>
      <c r="D8" s="981">
        <v>47</v>
      </c>
      <c r="E8" s="981">
        <v>1</v>
      </c>
      <c r="F8" s="981">
        <v>4</v>
      </c>
      <c r="G8" s="981"/>
      <c r="H8" s="981">
        <v>21</v>
      </c>
      <c r="I8" s="981"/>
      <c r="J8" s="981">
        <v>21</v>
      </c>
    </row>
    <row r="9" spans="1:10" x14ac:dyDescent="0.25">
      <c r="A9" s="981" t="s">
        <v>278</v>
      </c>
      <c r="B9" s="981" t="s">
        <v>262</v>
      </c>
      <c r="C9" s="981" t="s">
        <v>309</v>
      </c>
      <c r="D9" s="981">
        <v>25</v>
      </c>
      <c r="E9" s="981">
        <v>5</v>
      </c>
      <c r="F9" s="981">
        <v>2</v>
      </c>
      <c r="G9" s="981"/>
      <c r="H9" s="981">
        <v>12</v>
      </c>
      <c r="I9" s="981">
        <v>6</v>
      </c>
      <c r="J9" s="981"/>
    </row>
    <row r="10" spans="1:10" x14ac:dyDescent="0.25">
      <c r="A10" s="981" t="s">
        <v>278</v>
      </c>
      <c r="B10" s="981" t="s">
        <v>35</v>
      </c>
      <c r="C10" s="981" t="s">
        <v>287</v>
      </c>
      <c r="D10" s="981">
        <v>3</v>
      </c>
      <c r="E10" s="981"/>
      <c r="F10" s="981"/>
      <c r="G10" s="981">
        <v>1</v>
      </c>
      <c r="H10" s="981">
        <v>2</v>
      </c>
      <c r="I10" s="981"/>
      <c r="J10" s="981"/>
    </row>
    <row r="11" spans="1:10" x14ac:dyDescent="0.25">
      <c r="A11" s="981" t="s">
        <v>278</v>
      </c>
      <c r="B11" s="981" t="s">
        <v>36</v>
      </c>
      <c r="C11" s="981" t="s">
        <v>288</v>
      </c>
      <c r="D11" s="981">
        <v>29</v>
      </c>
      <c r="E11" s="981">
        <v>1</v>
      </c>
      <c r="F11" s="981">
        <v>5</v>
      </c>
      <c r="G11" s="981">
        <v>3</v>
      </c>
      <c r="H11" s="981">
        <v>20</v>
      </c>
      <c r="I11" s="981"/>
      <c r="J11" s="981"/>
    </row>
    <row r="12" spans="1:10" x14ac:dyDescent="0.25">
      <c r="A12" s="981" t="s">
        <v>278</v>
      </c>
      <c r="B12" s="981" t="s">
        <v>37</v>
      </c>
      <c r="C12" s="981" t="s">
        <v>314</v>
      </c>
      <c r="D12" s="981">
        <v>25</v>
      </c>
      <c r="E12" s="981">
        <v>1</v>
      </c>
      <c r="F12" s="981">
        <v>2</v>
      </c>
      <c r="G12" s="981"/>
      <c r="H12" s="981">
        <v>13</v>
      </c>
      <c r="I12" s="981">
        <v>9</v>
      </c>
      <c r="J12" s="981"/>
    </row>
    <row r="13" spans="1:10" x14ac:dyDescent="0.25">
      <c r="A13" s="981" t="s">
        <v>278</v>
      </c>
      <c r="B13" s="981" t="s">
        <v>38</v>
      </c>
      <c r="C13" s="981" t="s">
        <v>289</v>
      </c>
      <c r="D13" s="981">
        <v>11</v>
      </c>
      <c r="E13" s="981">
        <v>1</v>
      </c>
      <c r="F13" s="981"/>
      <c r="G13" s="981"/>
      <c r="H13" s="981">
        <v>9</v>
      </c>
      <c r="I13" s="981">
        <v>1</v>
      </c>
      <c r="J13" s="981"/>
    </row>
    <row r="14" spans="1:10" x14ac:dyDescent="0.25">
      <c r="A14" s="981" t="s">
        <v>278</v>
      </c>
      <c r="B14" s="981" t="s">
        <v>39</v>
      </c>
      <c r="C14" s="981" t="s">
        <v>316</v>
      </c>
      <c r="D14" s="981">
        <v>5</v>
      </c>
      <c r="E14" s="981"/>
      <c r="F14" s="981"/>
      <c r="G14" s="981"/>
      <c r="H14" s="981">
        <v>3</v>
      </c>
      <c r="I14" s="981">
        <v>2</v>
      </c>
      <c r="J14" s="981"/>
    </row>
    <row r="15" spans="1:10" x14ac:dyDescent="0.25">
      <c r="A15" s="981" t="s">
        <v>278</v>
      </c>
      <c r="B15" s="981" t="s">
        <v>40</v>
      </c>
      <c r="C15" s="981" t="s">
        <v>290</v>
      </c>
      <c r="D15" s="981">
        <v>7</v>
      </c>
      <c r="E15" s="981"/>
      <c r="F15" s="981"/>
      <c r="G15" s="981"/>
      <c r="H15" s="981">
        <v>7</v>
      </c>
      <c r="I15" s="981"/>
      <c r="J15" s="981"/>
    </row>
    <row r="16" spans="1:10" x14ac:dyDescent="0.25">
      <c r="A16" s="981" t="s">
        <v>278</v>
      </c>
      <c r="B16" s="981" t="s">
        <v>41</v>
      </c>
      <c r="C16" s="981" t="s">
        <v>291</v>
      </c>
      <c r="D16" s="981">
        <v>2</v>
      </c>
      <c r="E16" s="981"/>
      <c r="F16" s="981"/>
      <c r="G16" s="981"/>
      <c r="H16" s="981">
        <v>2</v>
      </c>
      <c r="I16" s="981"/>
      <c r="J16" s="981"/>
    </row>
    <row r="17" spans="1:10" x14ac:dyDescent="0.25">
      <c r="A17" s="981" t="s">
        <v>278</v>
      </c>
      <c r="B17" s="981" t="s">
        <v>42</v>
      </c>
      <c r="C17" s="981" t="s">
        <v>293</v>
      </c>
      <c r="D17" s="981">
        <v>14</v>
      </c>
      <c r="E17" s="981">
        <v>1</v>
      </c>
      <c r="F17" s="981">
        <v>4</v>
      </c>
      <c r="G17" s="981"/>
      <c r="H17" s="981">
        <v>7</v>
      </c>
      <c r="I17" s="981">
        <v>2</v>
      </c>
      <c r="J17" s="981"/>
    </row>
    <row r="18" spans="1:10" x14ac:dyDescent="0.25">
      <c r="A18" s="981" t="s">
        <v>278</v>
      </c>
      <c r="B18" s="981" t="s">
        <v>43</v>
      </c>
      <c r="C18" s="981" t="s">
        <v>318</v>
      </c>
      <c r="D18" s="981">
        <v>28</v>
      </c>
      <c r="E18" s="981">
        <v>2</v>
      </c>
      <c r="F18" s="981">
        <v>6</v>
      </c>
      <c r="G18" s="981">
        <v>1</v>
      </c>
      <c r="H18" s="981">
        <v>17</v>
      </c>
      <c r="I18" s="981">
        <v>2</v>
      </c>
      <c r="J18" s="981"/>
    </row>
    <row r="19" spans="1:10" x14ac:dyDescent="0.25">
      <c r="A19" s="981" t="s">
        <v>278</v>
      </c>
      <c r="B19" s="981" t="s">
        <v>124</v>
      </c>
      <c r="C19" s="981" t="s">
        <v>317</v>
      </c>
      <c r="D19" s="981">
        <v>27</v>
      </c>
      <c r="E19" s="981">
        <v>3</v>
      </c>
      <c r="F19" s="981">
        <v>3</v>
      </c>
      <c r="G19" s="981">
        <v>3</v>
      </c>
      <c r="H19" s="981">
        <v>18</v>
      </c>
      <c r="I19" s="981"/>
      <c r="J19" s="981"/>
    </row>
    <row r="20" spans="1:10" x14ac:dyDescent="0.25">
      <c r="A20" s="981" t="s">
        <v>278</v>
      </c>
      <c r="B20" s="981" t="s">
        <v>44</v>
      </c>
      <c r="C20" s="981" t="s">
        <v>294</v>
      </c>
      <c r="D20" s="981">
        <v>83</v>
      </c>
      <c r="E20" s="981">
        <v>1</v>
      </c>
      <c r="F20" s="981">
        <v>11</v>
      </c>
      <c r="G20" s="981">
        <v>1</v>
      </c>
      <c r="H20" s="981">
        <v>67</v>
      </c>
      <c r="I20" s="981">
        <v>3</v>
      </c>
      <c r="J20" s="981"/>
    </row>
    <row r="21" spans="1:10" x14ac:dyDescent="0.25">
      <c r="A21" s="981" t="s">
        <v>278</v>
      </c>
      <c r="B21" s="981" t="s">
        <v>45</v>
      </c>
      <c r="C21" s="981" t="s">
        <v>295</v>
      </c>
      <c r="D21" s="981">
        <v>8</v>
      </c>
      <c r="E21" s="981">
        <v>1</v>
      </c>
      <c r="F21" s="981">
        <v>1</v>
      </c>
      <c r="G21" s="981"/>
      <c r="H21" s="981">
        <v>6</v>
      </c>
      <c r="I21" s="981"/>
      <c r="J21" s="981"/>
    </row>
    <row r="22" spans="1:10" x14ac:dyDescent="0.25">
      <c r="A22" s="981" t="s">
        <v>278</v>
      </c>
      <c r="B22" s="981" t="s">
        <v>46</v>
      </c>
      <c r="C22" s="981" t="s">
        <v>296</v>
      </c>
      <c r="D22" s="981">
        <v>5</v>
      </c>
      <c r="E22" s="981"/>
      <c r="F22" s="981">
        <v>2</v>
      </c>
      <c r="G22" s="981"/>
      <c r="H22" s="981">
        <v>3</v>
      </c>
      <c r="I22" s="981"/>
      <c r="J22" s="981"/>
    </row>
    <row r="23" spans="1:10" x14ac:dyDescent="0.25">
      <c r="A23" s="981" t="s">
        <v>278</v>
      </c>
      <c r="B23" s="981" t="s">
        <v>47</v>
      </c>
      <c r="C23" s="981" t="s">
        <v>297</v>
      </c>
      <c r="D23" s="981">
        <v>19</v>
      </c>
      <c r="E23" s="981"/>
      <c r="F23" s="981">
        <v>4</v>
      </c>
      <c r="G23" s="981"/>
      <c r="H23" s="981">
        <v>13</v>
      </c>
      <c r="I23" s="981"/>
      <c r="J23" s="981">
        <v>2</v>
      </c>
    </row>
    <row r="24" spans="1:10" x14ac:dyDescent="0.25">
      <c r="A24" s="981" t="s">
        <v>278</v>
      </c>
      <c r="B24" s="981" t="s">
        <v>48</v>
      </c>
      <c r="C24" s="981" t="s">
        <v>292</v>
      </c>
      <c r="D24" s="981">
        <v>17</v>
      </c>
      <c r="E24" s="981"/>
      <c r="F24" s="981"/>
      <c r="G24" s="981"/>
      <c r="H24" s="981">
        <v>16</v>
      </c>
      <c r="I24" s="981"/>
      <c r="J24" s="981">
        <v>1</v>
      </c>
    </row>
    <row r="25" spans="1:10" x14ac:dyDescent="0.25">
      <c r="A25" s="981" t="s">
        <v>278</v>
      </c>
      <c r="B25" s="981" t="s">
        <v>49</v>
      </c>
      <c r="C25" s="981" t="s">
        <v>298</v>
      </c>
      <c r="D25" s="981">
        <v>20</v>
      </c>
      <c r="E25" s="981"/>
      <c r="F25" s="981">
        <v>2</v>
      </c>
      <c r="G25" s="981"/>
      <c r="H25" s="981">
        <v>14</v>
      </c>
      <c r="I25" s="981">
        <v>1</v>
      </c>
      <c r="J25" s="981">
        <v>3</v>
      </c>
    </row>
    <row r="26" spans="1:10" x14ac:dyDescent="0.25">
      <c r="A26" s="981" t="s">
        <v>278</v>
      </c>
      <c r="B26" s="981" t="s">
        <v>50</v>
      </c>
      <c r="C26" s="981" t="s">
        <v>315</v>
      </c>
      <c r="D26" s="981">
        <v>16</v>
      </c>
      <c r="E26" s="981">
        <v>2</v>
      </c>
      <c r="F26" s="981">
        <v>2</v>
      </c>
      <c r="G26" s="981">
        <v>1</v>
      </c>
      <c r="H26" s="981">
        <v>8</v>
      </c>
      <c r="I26" s="981">
        <v>3</v>
      </c>
      <c r="J26" s="981"/>
    </row>
    <row r="27" spans="1:10" x14ac:dyDescent="0.25">
      <c r="A27" s="981" t="s">
        <v>278</v>
      </c>
      <c r="B27" s="981" t="s">
        <v>51</v>
      </c>
      <c r="C27" s="981" t="s">
        <v>299</v>
      </c>
      <c r="D27" s="981">
        <v>15</v>
      </c>
      <c r="E27" s="981"/>
      <c r="F27" s="981"/>
      <c r="G27" s="981"/>
      <c r="H27" s="981">
        <v>14</v>
      </c>
      <c r="I27" s="981"/>
      <c r="J27" s="981">
        <v>1</v>
      </c>
    </row>
    <row r="28" spans="1:10" x14ac:dyDescent="0.25">
      <c r="A28" s="981" t="s">
        <v>278</v>
      </c>
      <c r="B28" s="981" t="s">
        <v>52</v>
      </c>
      <c r="C28" s="981" t="s">
        <v>300</v>
      </c>
      <c r="D28" s="981">
        <v>24</v>
      </c>
      <c r="E28" s="981">
        <v>1</v>
      </c>
      <c r="F28" s="981">
        <v>1</v>
      </c>
      <c r="G28" s="981">
        <v>1</v>
      </c>
      <c r="H28" s="981">
        <v>16</v>
      </c>
      <c r="I28" s="981">
        <v>2</v>
      </c>
      <c r="J28" s="981">
        <v>3</v>
      </c>
    </row>
    <row r="29" spans="1:10" x14ac:dyDescent="0.25">
      <c r="A29" s="981" t="s">
        <v>278</v>
      </c>
      <c r="B29" s="981" t="s">
        <v>53</v>
      </c>
      <c r="C29" s="981" t="s">
        <v>310</v>
      </c>
      <c r="D29" s="981">
        <v>8</v>
      </c>
      <c r="E29" s="981">
        <v>2</v>
      </c>
      <c r="F29" s="981">
        <v>2</v>
      </c>
      <c r="G29" s="981"/>
      <c r="H29" s="981">
        <v>4</v>
      </c>
      <c r="I29" s="981"/>
      <c r="J29" s="981"/>
    </row>
    <row r="30" spans="1:10" x14ac:dyDescent="0.25">
      <c r="A30" s="981" t="s">
        <v>278</v>
      </c>
      <c r="B30" s="981" t="s">
        <v>54</v>
      </c>
      <c r="C30" s="981" t="s">
        <v>301</v>
      </c>
      <c r="D30" s="981">
        <v>21</v>
      </c>
      <c r="E30" s="981"/>
      <c r="F30" s="981">
        <v>2</v>
      </c>
      <c r="G30" s="981">
        <v>1</v>
      </c>
      <c r="H30" s="981">
        <v>16</v>
      </c>
      <c r="I30" s="981">
        <v>2</v>
      </c>
      <c r="J30" s="981"/>
    </row>
    <row r="31" spans="1:10" x14ac:dyDescent="0.25">
      <c r="A31" s="981" t="s">
        <v>278</v>
      </c>
      <c r="B31" s="981" t="s">
        <v>55</v>
      </c>
      <c r="C31" s="981" t="s">
        <v>302</v>
      </c>
      <c r="D31" s="981">
        <v>17</v>
      </c>
      <c r="E31" s="981"/>
      <c r="F31" s="981"/>
      <c r="G31" s="981"/>
      <c r="H31" s="981">
        <v>16</v>
      </c>
      <c r="I31" s="981"/>
      <c r="J31" s="981">
        <v>1</v>
      </c>
    </row>
    <row r="32" spans="1:10" x14ac:dyDescent="0.25">
      <c r="A32" s="981" t="s">
        <v>278</v>
      </c>
      <c r="B32" s="981" t="s">
        <v>56</v>
      </c>
      <c r="C32" s="981" t="s">
        <v>303</v>
      </c>
      <c r="D32" s="981">
        <v>9</v>
      </c>
      <c r="E32" s="981">
        <v>1</v>
      </c>
      <c r="F32" s="981"/>
      <c r="G32" s="981">
        <v>1</v>
      </c>
      <c r="H32" s="981">
        <v>7</v>
      </c>
      <c r="I32" s="981"/>
      <c r="J32" s="981"/>
    </row>
    <row r="33" spans="1:10" x14ac:dyDescent="0.25">
      <c r="A33" s="981" t="s">
        <v>278</v>
      </c>
      <c r="B33" s="981" t="s">
        <v>57</v>
      </c>
      <c r="C33" s="981" t="s">
        <v>304</v>
      </c>
      <c r="D33" s="981">
        <v>23</v>
      </c>
      <c r="E33" s="981">
        <v>1</v>
      </c>
      <c r="F33" s="981">
        <v>5</v>
      </c>
      <c r="G33" s="981">
        <v>2</v>
      </c>
      <c r="H33" s="981">
        <v>14</v>
      </c>
      <c r="I33" s="981">
        <v>1</v>
      </c>
      <c r="J33" s="981"/>
    </row>
    <row r="34" spans="1:10" x14ac:dyDescent="0.25">
      <c r="A34" s="981" t="s">
        <v>278</v>
      </c>
      <c r="B34" s="981" t="s">
        <v>58</v>
      </c>
      <c r="C34" s="981" t="s">
        <v>305</v>
      </c>
      <c r="D34" s="981">
        <v>16</v>
      </c>
      <c r="E34" s="981"/>
      <c r="F34" s="981">
        <v>3</v>
      </c>
      <c r="G34" s="981">
        <v>1</v>
      </c>
      <c r="H34" s="981">
        <v>10</v>
      </c>
      <c r="I34" s="981"/>
      <c r="J34" s="981">
        <v>2</v>
      </c>
    </row>
    <row r="35" spans="1:10" x14ac:dyDescent="0.25">
      <c r="A35" s="981" t="s">
        <v>278</v>
      </c>
      <c r="B35" s="981" t="s">
        <v>59</v>
      </c>
      <c r="C35" s="981" t="s">
        <v>311</v>
      </c>
      <c r="D35" s="981">
        <v>7</v>
      </c>
      <c r="E35" s="981">
        <v>1</v>
      </c>
      <c r="F35" s="981">
        <v>1</v>
      </c>
      <c r="G35" s="981"/>
      <c r="H35" s="981">
        <v>4</v>
      </c>
      <c r="I35" s="981">
        <v>1</v>
      </c>
      <c r="J35" s="981"/>
    </row>
    <row r="36" spans="1:10" x14ac:dyDescent="0.25">
      <c r="A36" s="981" t="s">
        <v>278</v>
      </c>
      <c r="B36" s="981" t="s">
        <v>60</v>
      </c>
      <c r="C36" s="981" t="s">
        <v>312</v>
      </c>
      <c r="D36" s="981">
        <v>12</v>
      </c>
      <c r="E36" s="981"/>
      <c r="F36" s="981">
        <v>1</v>
      </c>
      <c r="G36" s="981">
        <v>1</v>
      </c>
      <c r="H36" s="981">
        <v>9</v>
      </c>
      <c r="I36" s="981">
        <v>1</v>
      </c>
      <c r="J36" s="981"/>
    </row>
    <row r="37" spans="1:10" x14ac:dyDescent="0.25">
      <c r="A37" s="981" t="s">
        <v>259</v>
      </c>
      <c r="B37" s="981" t="s">
        <v>31</v>
      </c>
      <c r="C37" s="981" t="s">
        <v>306</v>
      </c>
      <c r="D37" s="981">
        <v>18</v>
      </c>
      <c r="E37" s="981">
        <v>1</v>
      </c>
      <c r="F37" s="981">
        <v>3</v>
      </c>
      <c r="G37" s="981"/>
      <c r="H37" s="981">
        <v>8</v>
      </c>
      <c r="I37" s="981">
        <v>6</v>
      </c>
      <c r="J37" s="981"/>
    </row>
    <row r="38" spans="1:10" x14ac:dyDescent="0.25">
      <c r="A38" s="981" t="s">
        <v>259</v>
      </c>
      <c r="B38" s="981" t="s">
        <v>32</v>
      </c>
      <c r="C38" s="981" t="s">
        <v>307</v>
      </c>
      <c r="D38" s="981">
        <v>37</v>
      </c>
      <c r="E38" s="981"/>
      <c r="F38" s="981">
        <v>5</v>
      </c>
      <c r="G38" s="981"/>
      <c r="H38" s="981">
        <v>31</v>
      </c>
      <c r="I38" s="981">
        <v>1</v>
      </c>
      <c r="J38" s="981"/>
    </row>
    <row r="39" spans="1:10" x14ac:dyDescent="0.25">
      <c r="A39" s="981" t="s">
        <v>259</v>
      </c>
      <c r="B39" s="981" t="s">
        <v>33</v>
      </c>
      <c r="C39" s="981" t="s">
        <v>313</v>
      </c>
      <c r="D39" s="981">
        <v>12</v>
      </c>
      <c r="E39" s="981"/>
      <c r="F39" s="981"/>
      <c r="G39" s="981"/>
      <c r="H39" s="981">
        <v>11</v>
      </c>
      <c r="I39" s="981">
        <v>1</v>
      </c>
      <c r="J39" s="981"/>
    </row>
    <row r="40" spans="1:10" x14ac:dyDescent="0.25">
      <c r="A40" s="981" t="s">
        <v>259</v>
      </c>
      <c r="B40" s="981" t="s">
        <v>34</v>
      </c>
      <c r="C40" s="981" t="s">
        <v>308</v>
      </c>
      <c r="D40" s="981">
        <v>48</v>
      </c>
      <c r="E40" s="981">
        <v>1</v>
      </c>
      <c r="F40" s="981">
        <v>4</v>
      </c>
      <c r="G40" s="981">
        <v>1</v>
      </c>
      <c r="H40" s="981">
        <v>21</v>
      </c>
      <c r="I40" s="981"/>
      <c r="J40" s="981">
        <v>21</v>
      </c>
    </row>
    <row r="41" spans="1:10" x14ac:dyDescent="0.25">
      <c r="A41" s="981" t="s">
        <v>259</v>
      </c>
      <c r="B41" s="981" t="s">
        <v>262</v>
      </c>
      <c r="C41" s="981" t="s">
        <v>309</v>
      </c>
      <c r="D41" s="981">
        <v>21</v>
      </c>
      <c r="E41" s="981">
        <v>3</v>
      </c>
      <c r="F41" s="981">
        <v>1</v>
      </c>
      <c r="G41" s="981"/>
      <c r="H41" s="981">
        <v>12</v>
      </c>
      <c r="I41" s="981">
        <v>5</v>
      </c>
      <c r="J41" s="981"/>
    </row>
    <row r="42" spans="1:10" x14ac:dyDescent="0.25">
      <c r="A42" s="981" t="s">
        <v>259</v>
      </c>
      <c r="B42" s="981" t="s">
        <v>35</v>
      </c>
      <c r="C42" s="981" t="s">
        <v>287</v>
      </c>
      <c r="D42" s="981">
        <v>5</v>
      </c>
      <c r="E42" s="981"/>
      <c r="F42" s="981">
        <v>1</v>
      </c>
      <c r="G42" s="981">
        <v>1</v>
      </c>
      <c r="H42" s="981">
        <v>3</v>
      </c>
      <c r="I42" s="981"/>
      <c r="J42" s="981"/>
    </row>
    <row r="43" spans="1:10" x14ac:dyDescent="0.25">
      <c r="A43" s="981" t="s">
        <v>259</v>
      </c>
      <c r="B43" s="981" t="s">
        <v>36</v>
      </c>
      <c r="C43" s="981" t="s">
        <v>288</v>
      </c>
      <c r="D43" s="981">
        <v>29</v>
      </c>
      <c r="E43" s="981">
        <v>1</v>
      </c>
      <c r="F43" s="981">
        <v>3</v>
      </c>
      <c r="G43" s="981">
        <v>4</v>
      </c>
      <c r="H43" s="981">
        <v>20</v>
      </c>
      <c r="I43" s="981"/>
      <c r="J43" s="981">
        <v>1</v>
      </c>
    </row>
    <row r="44" spans="1:10" x14ac:dyDescent="0.25">
      <c r="A44" s="981" t="s">
        <v>259</v>
      </c>
      <c r="B44" s="981" t="s">
        <v>37</v>
      </c>
      <c r="C44" s="981" t="s">
        <v>314</v>
      </c>
      <c r="D44" s="981">
        <v>22</v>
      </c>
      <c r="E44" s="981">
        <v>1</v>
      </c>
      <c r="F44" s="981">
        <v>2</v>
      </c>
      <c r="G44" s="981">
        <v>1</v>
      </c>
      <c r="H44" s="981">
        <v>8</v>
      </c>
      <c r="I44" s="981">
        <v>10</v>
      </c>
      <c r="J44" s="981"/>
    </row>
    <row r="45" spans="1:10" x14ac:dyDescent="0.25">
      <c r="A45" s="981" t="s">
        <v>259</v>
      </c>
      <c r="B45" s="981" t="s">
        <v>38</v>
      </c>
      <c r="C45" s="981" t="s">
        <v>289</v>
      </c>
      <c r="D45" s="981">
        <v>11</v>
      </c>
      <c r="E45" s="981">
        <v>1</v>
      </c>
      <c r="F45" s="981"/>
      <c r="G45" s="981"/>
      <c r="H45" s="981">
        <v>9</v>
      </c>
      <c r="I45" s="981">
        <v>1</v>
      </c>
      <c r="J45" s="981"/>
    </row>
    <row r="46" spans="1:10" x14ac:dyDescent="0.25">
      <c r="A46" s="981" t="s">
        <v>259</v>
      </c>
      <c r="B46" s="981" t="s">
        <v>39</v>
      </c>
      <c r="C46" s="981" t="s">
        <v>316</v>
      </c>
      <c r="D46" s="981">
        <v>5</v>
      </c>
      <c r="E46" s="981"/>
      <c r="F46" s="981"/>
      <c r="G46" s="981"/>
      <c r="H46" s="981">
        <v>3</v>
      </c>
      <c r="I46" s="981">
        <v>2</v>
      </c>
      <c r="J46" s="981"/>
    </row>
    <row r="47" spans="1:10" x14ac:dyDescent="0.25">
      <c r="A47" s="981" t="s">
        <v>259</v>
      </c>
      <c r="B47" s="981" t="s">
        <v>40</v>
      </c>
      <c r="C47" s="981" t="s">
        <v>290</v>
      </c>
      <c r="D47" s="981">
        <v>8</v>
      </c>
      <c r="E47" s="981"/>
      <c r="F47" s="981"/>
      <c r="G47" s="981"/>
      <c r="H47" s="981">
        <v>8</v>
      </c>
      <c r="I47" s="981"/>
      <c r="J47" s="981"/>
    </row>
    <row r="48" spans="1:10" x14ac:dyDescent="0.25">
      <c r="A48" s="981" t="s">
        <v>259</v>
      </c>
      <c r="B48" s="981" t="s">
        <v>41</v>
      </c>
      <c r="C48" s="981" t="s">
        <v>291</v>
      </c>
      <c r="D48" s="981">
        <v>2</v>
      </c>
      <c r="E48" s="981"/>
      <c r="F48" s="981"/>
      <c r="G48" s="981"/>
      <c r="H48" s="981">
        <v>2</v>
      </c>
      <c r="I48" s="981"/>
      <c r="J48" s="981"/>
    </row>
    <row r="49" spans="1:10" x14ac:dyDescent="0.25">
      <c r="A49" s="981" t="s">
        <v>259</v>
      </c>
      <c r="B49" s="981" t="s">
        <v>42</v>
      </c>
      <c r="C49" s="981" t="s">
        <v>293</v>
      </c>
      <c r="D49" s="981">
        <v>16</v>
      </c>
      <c r="E49" s="981">
        <v>1</v>
      </c>
      <c r="F49" s="981">
        <v>4</v>
      </c>
      <c r="G49" s="981"/>
      <c r="H49" s="981">
        <v>9</v>
      </c>
      <c r="I49" s="981">
        <v>2</v>
      </c>
      <c r="J49" s="981"/>
    </row>
    <row r="50" spans="1:10" x14ac:dyDescent="0.25">
      <c r="A50" s="981" t="s">
        <v>259</v>
      </c>
      <c r="B50" s="981" t="s">
        <v>43</v>
      </c>
      <c r="C50" s="981" t="s">
        <v>318</v>
      </c>
      <c r="D50" s="981">
        <v>30</v>
      </c>
      <c r="E50" s="981">
        <v>2</v>
      </c>
      <c r="F50" s="981">
        <v>5</v>
      </c>
      <c r="G50" s="981">
        <v>1</v>
      </c>
      <c r="H50" s="981">
        <v>20</v>
      </c>
      <c r="I50" s="981">
        <v>2</v>
      </c>
      <c r="J50" s="981"/>
    </row>
    <row r="51" spans="1:10" x14ac:dyDescent="0.25">
      <c r="A51" s="981" t="s">
        <v>259</v>
      </c>
      <c r="B51" s="981" t="s">
        <v>124</v>
      </c>
      <c r="C51" s="981" t="s">
        <v>317</v>
      </c>
      <c r="D51" s="981">
        <v>28</v>
      </c>
      <c r="E51" s="981">
        <v>4</v>
      </c>
      <c r="F51" s="981">
        <v>3</v>
      </c>
      <c r="G51" s="981">
        <v>3</v>
      </c>
      <c r="H51" s="981">
        <v>18</v>
      </c>
      <c r="I51" s="981"/>
      <c r="J51" s="981"/>
    </row>
    <row r="52" spans="1:10" x14ac:dyDescent="0.25">
      <c r="A52" s="981" t="s">
        <v>259</v>
      </c>
      <c r="B52" s="981" t="s">
        <v>44</v>
      </c>
      <c r="C52" s="981" t="s">
        <v>294</v>
      </c>
      <c r="D52" s="981">
        <v>80</v>
      </c>
      <c r="E52" s="981">
        <v>1</v>
      </c>
      <c r="F52" s="981">
        <v>4</v>
      </c>
      <c r="G52" s="981">
        <v>1</v>
      </c>
      <c r="H52" s="981">
        <v>64</v>
      </c>
      <c r="I52" s="981">
        <v>3</v>
      </c>
      <c r="J52" s="981">
        <v>7</v>
      </c>
    </row>
    <row r="53" spans="1:10" x14ac:dyDescent="0.25">
      <c r="A53" s="981" t="s">
        <v>259</v>
      </c>
      <c r="B53" s="981" t="s">
        <v>45</v>
      </c>
      <c r="C53" s="981" t="s">
        <v>295</v>
      </c>
      <c r="D53" s="981">
        <v>7</v>
      </c>
      <c r="E53" s="981">
        <v>1</v>
      </c>
      <c r="F53" s="981"/>
      <c r="G53" s="981"/>
      <c r="H53" s="981">
        <v>6</v>
      </c>
      <c r="I53" s="981"/>
      <c r="J53" s="981"/>
    </row>
    <row r="54" spans="1:10" x14ac:dyDescent="0.25">
      <c r="A54" s="981" t="s">
        <v>259</v>
      </c>
      <c r="B54" s="981" t="s">
        <v>46</v>
      </c>
      <c r="C54" s="981" t="s">
        <v>296</v>
      </c>
      <c r="D54" s="981">
        <v>3</v>
      </c>
      <c r="E54" s="981"/>
      <c r="F54" s="981">
        <v>1</v>
      </c>
      <c r="G54" s="981"/>
      <c r="H54" s="981">
        <v>2</v>
      </c>
      <c r="I54" s="981"/>
      <c r="J54" s="981"/>
    </row>
    <row r="55" spans="1:10" x14ac:dyDescent="0.25">
      <c r="A55" s="981" t="s">
        <v>259</v>
      </c>
      <c r="B55" s="981" t="s">
        <v>47</v>
      </c>
      <c r="C55" s="981" t="s">
        <v>297</v>
      </c>
      <c r="D55" s="981">
        <v>19</v>
      </c>
      <c r="E55" s="981"/>
      <c r="F55" s="981">
        <v>3</v>
      </c>
      <c r="G55" s="981"/>
      <c r="H55" s="981">
        <v>13</v>
      </c>
      <c r="I55" s="981">
        <v>1</v>
      </c>
      <c r="J55" s="981">
        <v>2</v>
      </c>
    </row>
    <row r="56" spans="1:10" x14ac:dyDescent="0.25">
      <c r="A56" s="981" t="s">
        <v>259</v>
      </c>
      <c r="B56" s="981" t="s">
        <v>48</v>
      </c>
      <c r="C56" s="981" t="s">
        <v>292</v>
      </c>
      <c r="D56" s="981">
        <v>17</v>
      </c>
      <c r="E56" s="981"/>
      <c r="F56" s="981"/>
      <c r="G56" s="981"/>
      <c r="H56" s="981">
        <v>16</v>
      </c>
      <c r="I56" s="981"/>
      <c r="J56" s="981">
        <v>1</v>
      </c>
    </row>
    <row r="57" spans="1:10" x14ac:dyDescent="0.25">
      <c r="A57" s="981" t="s">
        <v>259</v>
      </c>
      <c r="B57" s="981" t="s">
        <v>49</v>
      </c>
      <c r="C57" s="981" t="s">
        <v>298</v>
      </c>
      <c r="D57" s="981">
        <v>20</v>
      </c>
      <c r="E57" s="981"/>
      <c r="F57" s="981">
        <v>2</v>
      </c>
      <c r="G57" s="981"/>
      <c r="H57" s="981">
        <v>15</v>
      </c>
      <c r="I57" s="981">
        <v>1</v>
      </c>
      <c r="J57" s="981">
        <v>2</v>
      </c>
    </row>
    <row r="58" spans="1:10" x14ac:dyDescent="0.25">
      <c r="A58" s="981" t="s">
        <v>259</v>
      </c>
      <c r="B58" s="981" t="s">
        <v>50</v>
      </c>
      <c r="C58" s="981" t="s">
        <v>315</v>
      </c>
      <c r="D58" s="981">
        <v>18</v>
      </c>
      <c r="E58" s="981">
        <v>2</v>
      </c>
      <c r="F58" s="981">
        <v>3</v>
      </c>
      <c r="G58" s="981">
        <v>1</v>
      </c>
      <c r="H58" s="981">
        <v>8</v>
      </c>
      <c r="I58" s="981">
        <v>4</v>
      </c>
      <c r="J58" s="981"/>
    </row>
    <row r="59" spans="1:10" x14ac:dyDescent="0.25">
      <c r="A59" s="981" t="s">
        <v>259</v>
      </c>
      <c r="B59" s="981" t="s">
        <v>51</v>
      </c>
      <c r="C59" s="981" t="s">
        <v>299</v>
      </c>
      <c r="D59" s="981">
        <v>16</v>
      </c>
      <c r="E59" s="981"/>
      <c r="F59" s="981"/>
      <c r="G59" s="981"/>
      <c r="H59" s="981">
        <v>15</v>
      </c>
      <c r="I59" s="981"/>
      <c r="J59" s="981">
        <v>1</v>
      </c>
    </row>
    <row r="60" spans="1:10" x14ac:dyDescent="0.25">
      <c r="A60" s="981" t="s">
        <v>259</v>
      </c>
      <c r="B60" s="981" t="s">
        <v>52</v>
      </c>
      <c r="C60" s="981" t="s">
        <v>300</v>
      </c>
      <c r="D60" s="981">
        <v>22</v>
      </c>
      <c r="E60" s="981">
        <v>1</v>
      </c>
      <c r="F60" s="981"/>
      <c r="G60" s="981">
        <v>1</v>
      </c>
      <c r="H60" s="981">
        <v>16</v>
      </c>
      <c r="I60" s="981">
        <v>1</v>
      </c>
      <c r="J60" s="981">
        <v>3</v>
      </c>
    </row>
    <row r="61" spans="1:10" x14ac:dyDescent="0.25">
      <c r="A61" s="981" t="s">
        <v>259</v>
      </c>
      <c r="B61" s="981" t="s">
        <v>53</v>
      </c>
      <c r="C61" s="981" t="s">
        <v>310</v>
      </c>
      <c r="D61" s="981">
        <v>9</v>
      </c>
      <c r="E61" s="981">
        <v>2</v>
      </c>
      <c r="F61" s="981">
        <v>3</v>
      </c>
      <c r="G61" s="981"/>
      <c r="H61" s="981">
        <v>4</v>
      </c>
      <c r="I61" s="981"/>
      <c r="J61" s="981"/>
    </row>
    <row r="62" spans="1:10" x14ac:dyDescent="0.25">
      <c r="A62" s="981" t="s">
        <v>259</v>
      </c>
      <c r="B62" s="981" t="s">
        <v>54</v>
      </c>
      <c r="C62" s="981" t="s">
        <v>301</v>
      </c>
      <c r="D62" s="981">
        <v>19</v>
      </c>
      <c r="E62" s="981"/>
      <c r="F62" s="981">
        <v>1</v>
      </c>
      <c r="G62" s="981">
        <v>1</v>
      </c>
      <c r="H62" s="981">
        <v>17</v>
      </c>
      <c r="I62" s="981"/>
      <c r="J62" s="981"/>
    </row>
    <row r="63" spans="1:10" x14ac:dyDescent="0.25">
      <c r="A63" s="981" t="s">
        <v>259</v>
      </c>
      <c r="B63" s="981" t="s">
        <v>55</v>
      </c>
      <c r="C63" s="981" t="s">
        <v>302</v>
      </c>
      <c r="D63" s="981">
        <v>18</v>
      </c>
      <c r="E63" s="981"/>
      <c r="F63" s="981">
        <v>1</v>
      </c>
      <c r="G63" s="981"/>
      <c r="H63" s="981">
        <v>16</v>
      </c>
      <c r="I63" s="981"/>
      <c r="J63" s="981">
        <v>1</v>
      </c>
    </row>
    <row r="64" spans="1:10" x14ac:dyDescent="0.25">
      <c r="A64" s="981" t="s">
        <v>259</v>
      </c>
      <c r="B64" s="981" t="s">
        <v>56</v>
      </c>
      <c r="C64" s="981" t="s">
        <v>303</v>
      </c>
      <c r="D64" s="981">
        <v>9</v>
      </c>
      <c r="E64" s="981">
        <v>1</v>
      </c>
      <c r="F64" s="981"/>
      <c r="G64" s="981">
        <v>1</v>
      </c>
      <c r="H64" s="981">
        <v>7</v>
      </c>
      <c r="I64" s="981"/>
      <c r="J64" s="981"/>
    </row>
    <row r="65" spans="1:10" x14ac:dyDescent="0.25">
      <c r="A65" s="981" t="s">
        <v>259</v>
      </c>
      <c r="B65" s="981" t="s">
        <v>57</v>
      </c>
      <c r="C65" s="981" t="s">
        <v>304</v>
      </c>
      <c r="D65" s="981">
        <v>23</v>
      </c>
      <c r="E65" s="981">
        <v>1</v>
      </c>
      <c r="F65" s="981">
        <v>5</v>
      </c>
      <c r="G65" s="981">
        <v>2</v>
      </c>
      <c r="H65" s="981">
        <v>14</v>
      </c>
      <c r="I65" s="981">
        <v>1</v>
      </c>
      <c r="J65" s="981"/>
    </row>
    <row r="66" spans="1:10" x14ac:dyDescent="0.25">
      <c r="A66" s="981" t="s">
        <v>259</v>
      </c>
      <c r="B66" s="981" t="s">
        <v>58</v>
      </c>
      <c r="C66" s="981" t="s">
        <v>305</v>
      </c>
      <c r="D66" s="981">
        <v>15</v>
      </c>
      <c r="E66" s="981"/>
      <c r="F66" s="981">
        <v>3</v>
      </c>
      <c r="G66" s="981">
        <v>1</v>
      </c>
      <c r="H66" s="981">
        <v>9</v>
      </c>
      <c r="I66" s="981"/>
      <c r="J66" s="981">
        <v>2</v>
      </c>
    </row>
    <row r="67" spans="1:10" x14ac:dyDescent="0.25">
      <c r="A67" s="981" t="s">
        <v>259</v>
      </c>
      <c r="B67" s="981" t="s">
        <v>59</v>
      </c>
      <c r="C67" s="981" t="s">
        <v>311</v>
      </c>
      <c r="D67" s="981">
        <v>7</v>
      </c>
      <c r="E67" s="981">
        <v>1</v>
      </c>
      <c r="F67" s="981">
        <v>1</v>
      </c>
      <c r="G67" s="981"/>
      <c r="H67" s="981">
        <v>4</v>
      </c>
      <c r="I67" s="981">
        <v>1</v>
      </c>
      <c r="J67" s="981"/>
    </row>
    <row r="68" spans="1:10" x14ac:dyDescent="0.25">
      <c r="A68" s="981" t="s">
        <v>259</v>
      </c>
      <c r="B68" s="981" t="s">
        <v>60</v>
      </c>
      <c r="C68" s="981" t="s">
        <v>312</v>
      </c>
      <c r="D68" s="981">
        <v>11</v>
      </c>
      <c r="E68" s="981"/>
      <c r="F68" s="981">
        <v>1</v>
      </c>
      <c r="G68" s="981">
        <v>1</v>
      </c>
      <c r="H68" s="981">
        <v>8</v>
      </c>
      <c r="I68" s="981">
        <v>1</v>
      </c>
      <c r="J68" s="981"/>
    </row>
    <row r="69" spans="1:10" x14ac:dyDescent="0.25">
      <c r="A69" s="981" t="s">
        <v>258</v>
      </c>
      <c r="B69" s="981" t="s">
        <v>31</v>
      </c>
      <c r="C69" s="981" t="s">
        <v>306</v>
      </c>
      <c r="D69" s="981">
        <v>19</v>
      </c>
      <c r="E69" s="981">
        <v>2</v>
      </c>
      <c r="F69" s="981">
        <v>2</v>
      </c>
      <c r="G69" s="981">
        <v>1</v>
      </c>
      <c r="H69" s="981">
        <v>8</v>
      </c>
      <c r="I69" s="981">
        <v>6</v>
      </c>
      <c r="J69" s="981"/>
    </row>
    <row r="70" spans="1:10" x14ac:dyDescent="0.25">
      <c r="A70" s="981" t="s">
        <v>258</v>
      </c>
      <c r="B70" s="981" t="s">
        <v>32</v>
      </c>
      <c r="C70" s="981" t="s">
        <v>307</v>
      </c>
      <c r="D70" s="981">
        <v>37</v>
      </c>
      <c r="E70" s="981"/>
      <c r="F70" s="981">
        <v>5</v>
      </c>
      <c r="G70" s="981"/>
      <c r="H70" s="981">
        <v>31</v>
      </c>
      <c r="I70" s="981">
        <v>1</v>
      </c>
      <c r="J70" s="981"/>
    </row>
    <row r="71" spans="1:10" x14ac:dyDescent="0.25">
      <c r="A71" s="981" t="s">
        <v>258</v>
      </c>
      <c r="B71" s="981" t="s">
        <v>33</v>
      </c>
      <c r="C71" s="981" t="s">
        <v>313</v>
      </c>
      <c r="D71" s="981">
        <v>13</v>
      </c>
      <c r="E71" s="981"/>
      <c r="F71" s="981">
        <v>1</v>
      </c>
      <c r="G71" s="981"/>
      <c r="H71" s="981">
        <v>11</v>
      </c>
      <c r="I71" s="981">
        <v>1</v>
      </c>
      <c r="J71" s="981"/>
    </row>
    <row r="72" spans="1:10" x14ac:dyDescent="0.25">
      <c r="A72" s="981" t="s">
        <v>258</v>
      </c>
      <c r="B72" s="981" t="s">
        <v>34</v>
      </c>
      <c r="C72" s="981" t="s">
        <v>308</v>
      </c>
      <c r="D72" s="981">
        <v>51</v>
      </c>
      <c r="E72" s="981">
        <v>1</v>
      </c>
      <c r="F72" s="981">
        <v>4</v>
      </c>
      <c r="G72" s="981">
        <v>1</v>
      </c>
      <c r="H72" s="981">
        <v>25</v>
      </c>
      <c r="I72" s="981"/>
      <c r="J72" s="981">
        <v>20</v>
      </c>
    </row>
    <row r="73" spans="1:10" x14ac:dyDescent="0.25">
      <c r="A73" s="981" t="s">
        <v>258</v>
      </c>
      <c r="B73" s="981" t="s">
        <v>262</v>
      </c>
      <c r="C73" s="981" t="s">
        <v>309</v>
      </c>
      <c r="D73" s="981">
        <v>25</v>
      </c>
      <c r="E73" s="981">
        <v>4</v>
      </c>
      <c r="F73" s="981">
        <v>1</v>
      </c>
      <c r="G73" s="981">
        <v>2</v>
      </c>
      <c r="H73" s="981">
        <v>12</v>
      </c>
      <c r="I73" s="981">
        <v>6</v>
      </c>
      <c r="J73" s="981"/>
    </row>
    <row r="74" spans="1:10" x14ac:dyDescent="0.25">
      <c r="A74" s="981" t="s">
        <v>258</v>
      </c>
      <c r="B74" s="981" t="s">
        <v>35</v>
      </c>
      <c r="C74" s="981" t="s">
        <v>287</v>
      </c>
      <c r="D74" s="981">
        <v>5</v>
      </c>
      <c r="E74" s="981"/>
      <c r="F74" s="981">
        <v>1</v>
      </c>
      <c r="G74" s="981">
        <v>1</v>
      </c>
      <c r="H74" s="981">
        <v>3</v>
      </c>
      <c r="I74" s="981"/>
      <c r="J74" s="981"/>
    </row>
    <row r="75" spans="1:10" x14ac:dyDescent="0.25">
      <c r="A75" s="981" t="s">
        <v>258</v>
      </c>
      <c r="B75" s="981" t="s">
        <v>36</v>
      </c>
      <c r="C75" s="981" t="s">
        <v>288</v>
      </c>
      <c r="D75" s="981">
        <v>30</v>
      </c>
      <c r="E75" s="981">
        <v>1</v>
      </c>
      <c r="F75" s="981">
        <v>4</v>
      </c>
      <c r="G75" s="981">
        <v>3</v>
      </c>
      <c r="H75" s="981">
        <v>22</v>
      </c>
      <c r="I75" s="981"/>
      <c r="J75" s="981"/>
    </row>
    <row r="76" spans="1:10" x14ac:dyDescent="0.25">
      <c r="A76" s="981" t="s">
        <v>258</v>
      </c>
      <c r="B76" s="981" t="s">
        <v>37</v>
      </c>
      <c r="C76" s="981" t="s">
        <v>314</v>
      </c>
      <c r="D76" s="981">
        <v>20</v>
      </c>
      <c r="E76" s="981">
        <v>2</v>
      </c>
      <c r="F76" s="981">
        <v>2</v>
      </c>
      <c r="G76" s="981">
        <v>1</v>
      </c>
      <c r="H76" s="981">
        <v>7</v>
      </c>
      <c r="I76" s="981">
        <v>8</v>
      </c>
      <c r="J76" s="981"/>
    </row>
    <row r="77" spans="1:10" x14ac:dyDescent="0.25">
      <c r="A77" s="981" t="s">
        <v>258</v>
      </c>
      <c r="B77" s="981" t="s">
        <v>38</v>
      </c>
      <c r="C77" s="981" t="s">
        <v>289</v>
      </c>
      <c r="D77" s="981">
        <v>11</v>
      </c>
      <c r="E77" s="981">
        <v>1</v>
      </c>
      <c r="F77" s="981"/>
      <c r="G77" s="981"/>
      <c r="H77" s="981">
        <v>9</v>
      </c>
      <c r="I77" s="981">
        <v>1</v>
      </c>
      <c r="J77" s="981"/>
    </row>
    <row r="78" spans="1:10" x14ac:dyDescent="0.25">
      <c r="A78" s="981" t="s">
        <v>258</v>
      </c>
      <c r="B78" s="981" t="s">
        <v>39</v>
      </c>
      <c r="C78" s="981" t="s">
        <v>316</v>
      </c>
      <c r="D78" s="981">
        <v>5</v>
      </c>
      <c r="E78" s="981"/>
      <c r="F78" s="981"/>
      <c r="G78" s="981"/>
      <c r="H78" s="981">
        <v>3</v>
      </c>
      <c r="I78" s="981">
        <v>2</v>
      </c>
      <c r="J78" s="981"/>
    </row>
    <row r="79" spans="1:10" x14ac:dyDescent="0.25">
      <c r="A79" s="981" t="s">
        <v>258</v>
      </c>
      <c r="B79" s="981" t="s">
        <v>40</v>
      </c>
      <c r="C79" s="981" t="s">
        <v>290</v>
      </c>
      <c r="D79" s="981">
        <v>9</v>
      </c>
      <c r="E79" s="981"/>
      <c r="F79" s="981"/>
      <c r="G79" s="981"/>
      <c r="H79" s="981">
        <v>9</v>
      </c>
      <c r="I79" s="981"/>
      <c r="J79" s="981"/>
    </row>
    <row r="80" spans="1:10" x14ac:dyDescent="0.25">
      <c r="A80" s="981" t="s">
        <v>258</v>
      </c>
      <c r="B80" s="981" t="s">
        <v>41</v>
      </c>
      <c r="C80" s="981" t="s">
        <v>291</v>
      </c>
      <c r="D80" s="981">
        <v>2</v>
      </c>
      <c r="E80" s="981"/>
      <c r="F80" s="981"/>
      <c r="G80" s="981"/>
      <c r="H80" s="981">
        <v>2</v>
      </c>
      <c r="I80" s="981"/>
      <c r="J80" s="981"/>
    </row>
    <row r="81" spans="1:10" x14ac:dyDescent="0.25">
      <c r="A81" s="981" t="s">
        <v>258</v>
      </c>
      <c r="B81" s="981" t="s">
        <v>42</v>
      </c>
      <c r="C81" s="981" t="s">
        <v>293</v>
      </c>
      <c r="D81" s="981">
        <v>17</v>
      </c>
      <c r="E81" s="981">
        <v>1</v>
      </c>
      <c r="F81" s="981">
        <v>4</v>
      </c>
      <c r="G81" s="981"/>
      <c r="H81" s="981">
        <v>10</v>
      </c>
      <c r="I81" s="981">
        <v>2</v>
      </c>
      <c r="J81" s="981"/>
    </row>
    <row r="82" spans="1:10" x14ac:dyDescent="0.25">
      <c r="A82" s="981" t="s">
        <v>258</v>
      </c>
      <c r="B82" s="981" t="s">
        <v>43</v>
      </c>
      <c r="C82" s="981" t="s">
        <v>318</v>
      </c>
      <c r="D82" s="981">
        <v>31</v>
      </c>
      <c r="E82" s="981">
        <v>2</v>
      </c>
      <c r="F82" s="981">
        <v>5</v>
      </c>
      <c r="G82" s="981">
        <v>1</v>
      </c>
      <c r="H82" s="981">
        <v>21</v>
      </c>
      <c r="I82" s="981">
        <v>2</v>
      </c>
      <c r="J82" s="981"/>
    </row>
    <row r="83" spans="1:10" x14ac:dyDescent="0.25">
      <c r="A83" s="981" t="s">
        <v>258</v>
      </c>
      <c r="B83" s="981" t="s">
        <v>124</v>
      </c>
      <c r="C83" s="981" t="s">
        <v>317</v>
      </c>
      <c r="D83" s="981">
        <v>28</v>
      </c>
      <c r="E83" s="981">
        <v>4</v>
      </c>
      <c r="F83" s="981">
        <v>3</v>
      </c>
      <c r="G83" s="981">
        <v>3</v>
      </c>
      <c r="H83" s="981">
        <v>18</v>
      </c>
      <c r="I83" s="981"/>
      <c r="J83" s="981"/>
    </row>
    <row r="84" spans="1:10" x14ac:dyDescent="0.25">
      <c r="A84" s="981" t="s">
        <v>258</v>
      </c>
      <c r="B84" s="981" t="s">
        <v>44</v>
      </c>
      <c r="C84" s="981" t="s">
        <v>294</v>
      </c>
      <c r="D84" s="981">
        <v>88</v>
      </c>
      <c r="E84" s="981">
        <v>1</v>
      </c>
      <c r="F84" s="981">
        <v>5</v>
      </c>
      <c r="G84" s="981">
        <v>2</v>
      </c>
      <c r="H84" s="981">
        <v>68</v>
      </c>
      <c r="I84" s="981">
        <v>4</v>
      </c>
      <c r="J84" s="981">
        <v>8</v>
      </c>
    </row>
    <row r="85" spans="1:10" x14ac:dyDescent="0.25">
      <c r="A85" s="981" t="s">
        <v>258</v>
      </c>
      <c r="B85" s="981" t="s">
        <v>45</v>
      </c>
      <c r="C85" s="981" t="s">
        <v>295</v>
      </c>
      <c r="D85" s="981">
        <v>8</v>
      </c>
      <c r="E85" s="981">
        <v>1</v>
      </c>
      <c r="F85" s="981"/>
      <c r="G85" s="981"/>
      <c r="H85" s="981">
        <v>7</v>
      </c>
      <c r="I85" s="981"/>
      <c r="J85" s="981"/>
    </row>
    <row r="86" spans="1:10" x14ac:dyDescent="0.25">
      <c r="A86" s="981" t="s">
        <v>258</v>
      </c>
      <c r="B86" s="981" t="s">
        <v>46</v>
      </c>
      <c r="C86" s="981" t="s">
        <v>296</v>
      </c>
      <c r="D86" s="981">
        <v>3</v>
      </c>
      <c r="E86" s="981"/>
      <c r="F86" s="981">
        <v>1</v>
      </c>
      <c r="G86" s="981"/>
      <c r="H86" s="981">
        <v>2</v>
      </c>
      <c r="I86" s="981"/>
      <c r="J86" s="981"/>
    </row>
    <row r="87" spans="1:10" x14ac:dyDescent="0.25">
      <c r="A87" s="981" t="s">
        <v>258</v>
      </c>
      <c r="B87" s="981" t="s">
        <v>47</v>
      </c>
      <c r="C87" s="981" t="s">
        <v>297</v>
      </c>
      <c r="D87" s="981">
        <v>19</v>
      </c>
      <c r="E87" s="981"/>
      <c r="F87" s="981">
        <v>3</v>
      </c>
      <c r="G87" s="981"/>
      <c r="H87" s="981">
        <v>13</v>
      </c>
      <c r="I87" s="981">
        <v>1</v>
      </c>
      <c r="J87" s="981">
        <v>2</v>
      </c>
    </row>
    <row r="88" spans="1:10" x14ac:dyDescent="0.25">
      <c r="A88" s="981" t="s">
        <v>258</v>
      </c>
      <c r="B88" s="981" t="s">
        <v>48</v>
      </c>
      <c r="C88" s="981" t="s">
        <v>292</v>
      </c>
      <c r="D88" s="981">
        <v>18</v>
      </c>
      <c r="E88" s="981"/>
      <c r="F88" s="981"/>
      <c r="G88" s="981"/>
      <c r="H88" s="981">
        <v>17</v>
      </c>
      <c r="I88" s="981"/>
      <c r="J88" s="981">
        <v>1</v>
      </c>
    </row>
    <row r="89" spans="1:10" x14ac:dyDescent="0.25">
      <c r="A89" s="981" t="s">
        <v>258</v>
      </c>
      <c r="B89" s="981" t="s">
        <v>49</v>
      </c>
      <c r="C89" s="981" t="s">
        <v>298</v>
      </c>
      <c r="D89" s="981">
        <v>20</v>
      </c>
      <c r="E89" s="981"/>
      <c r="F89" s="981">
        <v>2</v>
      </c>
      <c r="G89" s="981"/>
      <c r="H89" s="981">
        <v>16</v>
      </c>
      <c r="I89" s="981">
        <v>1</v>
      </c>
      <c r="J89" s="981">
        <v>1</v>
      </c>
    </row>
    <row r="90" spans="1:10" x14ac:dyDescent="0.25">
      <c r="A90" s="981" t="s">
        <v>258</v>
      </c>
      <c r="B90" s="981" t="s">
        <v>50</v>
      </c>
      <c r="C90" s="981" t="s">
        <v>315</v>
      </c>
      <c r="D90" s="981">
        <v>15</v>
      </c>
      <c r="E90" s="981">
        <v>2</v>
      </c>
      <c r="F90" s="981">
        <v>2</v>
      </c>
      <c r="G90" s="981">
        <v>1</v>
      </c>
      <c r="H90" s="981">
        <v>8</v>
      </c>
      <c r="I90" s="981">
        <v>2</v>
      </c>
      <c r="J90" s="981"/>
    </row>
    <row r="91" spans="1:10" x14ac:dyDescent="0.25">
      <c r="A91" s="981" t="s">
        <v>258</v>
      </c>
      <c r="B91" s="981" t="s">
        <v>51</v>
      </c>
      <c r="C91" s="981" t="s">
        <v>299</v>
      </c>
      <c r="D91" s="981">
        <v>15</v>
      </c>
      <c r="E91" s="981"/>
      <c r="F91" s="981"/>
      <c r="G91" s="981"/>
      <c r="H91" s="981">
        <v>14</v>
      </c>
      <c r="I91" s="981"/>
      <c r="J91" s="981">
        <v>1</v>
      </c>
    </row>
    <row r="92" spans="1:10" x14ac:dyDescent="0.25">
      <c r="A92" s="981" t="s">
        <v>258</v>
      </c>
      <c r="B92" s="981" t="s">
        <v>52</v>
      </c>
      <c r="C92" s="981" t="s">
        <v>300</v>
      </c>
      <c r="D92" s="981">
        <v>23</v>
      </c>
      <c r="E92" s="981">
        <v>1</v>
      </c>
      <c r="F92" s="981"/>
      <c r="G92" s="981">
        <v>1</v>
      </c>
      <c r="H92" s="981">
        <v>16</v>
      </c>
      <c r="I92" s="981">
        <v>2</v>
      </c>
      <c r="J92" s="981">
        <v>3</v>
      </c>
    </row>
    <row r="93" spans="1:10" x14ac:dyDescent="0.25">
      <c r="A93" s="981" t="s">
        <v>258</v>
      </c>
      <c r="B93" s="981" t="s">
        <v>53</v>
      </c>
      <c r="C93" s="981" t="s">
        <v>310</v>
      </c>
      <c r="D93" s="981">
        <v>10</v>
      </c>
      <c r="E93" s="981">
        <v>2</v>
      </c>
      <c r="F93" s="981">
        <v>4</v>
      </c>
      <c r="G93" s="981"/>
      <c r="H93" s="981">
        <v>4</v>
      </c>
      <c r="I93" s="981"/>
      <c r="J93" s="981"/>
    </row>
    <row r="94" spans="1:10" x14ac:dyDescent="0.25">
      <c r="A94" s="981" t="s">
        <v>258</v>
      </c>
      <c r="B94" s="981" t="s">
        <v>54</v>
      </c>
      <c r="C94" s="981" t="s">
        <v>301</v>
      </c>
      <c r="D94" s="981">
        <v>20</v>
      </c>
      <c r="E94" s="981"/>
      <c r="F94" s="981">
        <v>1</v>
      </c>
      <c r="G94" s="981">
        <v>2</v>
      </c>
      <c r="H94" s="981">
        <v>17</v>
      </c>
      <c r="I94" s="981"/>
      <c r="J94" s="981"/>
    </row>
    <row r="95" spans="1:10" x14ac:dyDescent="0.25">
      <c r="A95" s="981" t="s">
        <v>258</v>
      </c>
      <c r="B95" s="981" t="s">
        <v>55</v>
      </c>
      <c r="C95" s="981" t="s">
        <v>302</v>
      </c>
      <c r="D95" s="981">
        <v>18</v>
      </c>
      <c r="E95" s="981"/>
      <c r="F95" s="981">
        <v>1</v>
      </c>
      <c r="G95" s="981"/>
      <c r="H95" s="981">
        <v>16</v>
      </c>
      <c r="I95" s="981"/>
      <c r="J95" s="981">
        <v>1</v>
      </c>
    </row>
    <row r="96" spans="1:10" x14ac:dyDescent="0.25">
      <c r="A96" s="981" t="s">
        <v>258</v>
      </c>
      <c r="B96" s="981" t="s">
        <v>56</v>
      </c>
      <c r="C96" s="981" t="s">
        <v>303</v>
      </c>
      <c r="D96" s="981">
        <v>9</v>
      </c>
      <c r="E96" s="981">
        <v>1</v>
      </c>
      <c r="F96" s="981"/>
      <c r="G96" s="981">
        <v>1</v>
      </c>
      <c r="H96" s="981">
        <v>7</v>
      </c>
      <c r="I96" s="981"/>
      <c r="J96" s="981"/>
    </row>
    <row r="97" spans="1:10" x14ac:dyDescent="0.25">
      <c r="A97" s="981" t="s">
        <v>258</v>
      </c>
      <c r="B97" s="981" t="s">
        <v>57</v>
      </c>
      <c r="C97" s="981" t="s">
        <v>304</v>
      </c>
      <c r="D97" s="981">
        <v>24</v>
      </c>
      <c r="E97" s="981">
        <v>1</v>
      </c>
      <c r="F97" s="981">
        <v>6</v>
      </c>
      <c r="G97" s="981">
        <v>2</v>
      </c>
      <c r="H97" s="981">
        <v>14</v>
      </c>
      <c r="I97" s="981">
        <v>1</v>
      </c>
      <c r="J97" s="981"/>
    </row>
    <row r="98" spans="1:10" x14ac:dyDescent="0.25">
      <c r="A98" s="981" t="s">
        <v>258</v>
      </c>
      <c r="B98" s="981" t="s">
        <v>58</v>
      </c>
      <c r="C98" s="981" t="s">
        <v>305</v>
      </c>
      <c r="D98" s="981">
        <v>15</v>
      </c>
      <c r="E98" s="981"/>
      <c r="F98" s="981">
        <v>3</v>
      </c>
      <c r="G98" s="981">
        <v>1</v>
      </c>
      <c r="H98" s="981">
        <v>9</v>
      </c>
      <c r="I98" s="981"/>
      <c r="J98" s="981">
        <v>2</v>
      </c>
    </row>
    <row r="99" spans="1:10" x14ac:dyDescent="0.25">
      <c r="A99" s="981" t="s">
        <v>258</v>
      </c>
      <c r="B99" s="981" t="s">
        <v>59</v>
      </c>
      <c r="C99" s="981" t="s">
        <v>311</v>
      </c>
      <c r="D99" s="981">
        <v>7</v>
      </c>
      <c r="E99" s="981">
        <v>1</v>
      </c>
      <c r="F99" s="981">
        <v>1</v>
      </c>
      <c r="G99" s="981"/>
      <c r="H99" s="981">
        <v>4</v>
      </c>
      <c r="I99" s="981">
        <v>1</v>
      </c>
      <c r="J99" s="981"/>
    </row>
    <row r="100" spans="1:10" x14ac:dyDescent="0.25">
      <c r="A100" s="981" t="s">
        <v>258</v>
      </c>
      <c r="B100" s="981" t="s">
        <v>60</v>
      </c>
      <c r="C100" s="981" t="s">
        <v>312</v>
      </c>
      <c r="D100" s="981">
        <v>12</v>
      </c>
      <c r="E100" s="981"/>
      <c r="F100" s="981">
        <v>1</v>
      </c>
      <c r="G100" s="981">
        <v>2</v>
      </c>
      <c r="H100" s="981">
        <v>8</v>
      </c>
      <c r="I100" s="981">
        <v>1</v>
      </c>
      <c r="J100" s="981"/>
    </row>
  </sheetData>
  <pageMargins left="0.7" right="0.7" top="0.75" bottom="0.75" header="0.3" footer="0.3"/>
  <pageSetup paperSize="9" fitToHeight="50"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4:H16"/>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8" x14ac:dyDescent="0.25">
      <c r="A4" s="980" t="s">
        <v>977</v>
      </c>
      <c r="B4" s="980" t="s">
        <v>476</v>
      </c>
      <c r="C4" s="980" t="s">
        <v>249</v>
      </c>
      <c r="D4" s="980" t="s">
        <v>978</v>
      </c>
      <c r="E4" s="980" t="s">
        <v>979</v>
      </c>
      <c r="F4" s="980" t="s">
        <v>980</v>
      </c>
      <c r="G4" s="980" t="s">
        <v>981</v>
      </c>
      <c r="H4" s="980" t="s">
        <v>26</v>
      </c>
    </row>
    <row r="5" spans="1:8" x14ac:dyDescent="0.25">
      <c r="A5" s="981" t="s">
        <v>199</v>
      </c>
      <c r="B5" s="981" t="s">
        <v>216</v>
      </c>
      <c r="C5" s="981" t="s">
        <v>330</v>
      </c>
      <c r="D5" s="981">
        <v>49</v>
      </c>
      <c r="E5" s="981">
        <v>8</v>
      </c>
      <c r="F5" s="981">
        <v>37</v>
      </c>
      <c r="G5" s="981">
        <v>15</v>
      </c>
      <c r="H5" s="981">
        <v>109</v>
      </c>
    </row>
    <row r="6" spans="1:8" x14ac:dyDescent="0.25">
      <c r="A6" s="981" t="s">
        <v>199</v>
      </c>
      <c r="B6" s="981" t="s">
        <v>216</v>
      </c>
      <c r="C6" s="981" t="s">
        <v>208</v>
      </c>
      <c r="D6" s="981">
        <v>43</v>
      </c>
      <c r="E6" s="981">
        <v>5</v>
      </c>
      <c r="F6" s="981">
        <v>29</v>
      </c>
      <c r="G6" s="981">
        <v>4</v>
      </c>
      <c r="H6" s="981">
        <v>81</v>
      </c>
    </row>
    <row r="7" spans="1:8" x14ac:dyDescent="0.25">
      <c r="A7" s="981" t="s">
        <v>199</v>
      </c>
      <c r="B7" s="981" t="s">
        <v>216</v>
      </c>
      <c r="C7" s="981" t="s">
        <v>207</v>
      </c>
      <c r="D7" s="981">
        <v>38</v>
      </c>
      <c r="E7" s="981">
        <v>3</v>
      </c>
      <c r="F7" s="981">
        <v>20</v>
      </c>
      <c r="G7" s="981">
        <v>8</v>
      </c>
      <c r="H7" s="981">
        <v>69</v>
      </c>
    </row>
    <row r="8" spans="1:8" x14ac:dyDescent="0.25">
      <c r="A8" s="981" t="s">
        <v>199</v>
      </c>
      <c r="B8" s="981" t="s">
        <v>216</v>
      </c>
      <c r="C8" s="981" t="s">
        <v>206</v>
      </c>
      <c r="D8" s="981">
        <v>31</v>
      </c>
      <c r="E8" s="981">
        <v>6</v>
      </c>
      <c r="F8" s="981">
        <v>30</v>
      </c>
      <c r="G8" s="981">
        <v>8</v>
      </c>
      <c r="H8" s="981">
        <v>75</v>
      </c>
    </row>
    <row r="9" spans="1:8" x14ac:dyDescent="0.25">
      <c r="A9" s="981" t="s">
        <v>199</v>
      </c>
      <c r="B9" s="981" t="s">
        <v>200</v>
      </c>
      <c r="C9" s="981" t="s">
        <v>205</v>
      </c>
      <c r="D9" s="981">
        <v>3</v>
      </c>
      <c r="E9" s="981"/>
      <c r="F9" s="981">
        <v>6</v>
      </c>
      <c r="G9" s="981"/>
      <c r="H9" s="981">
        <v>9</v>
      </c>
    </row>
    <row r="10" spans="1:8" x14ac:dyDescent="0.25">
      <c r="A10" s="981" t="s">
        <v>199</v>
      </c>
      <c r="B10" s="981" t="s">
        <v>216</v>
      </c>
      <c r="C10" s="981" t="s">
        <v>205</v>
      </c>
      <c r="D10" s="981">
        <v>39</v>
      </c>
      <c r="E10" s="981">
        <v>13</v>
      </c>
      <c r="F10" s="981">
        <v>37</v>
      </c>
      <c r="G10" s="981">
        <v>1</v>
      </c>
      <c r="H10" s="981">
        <v>90</v>
      </c>
    </row>
    <row r="11" spans="1:8" x14ac:dyDescent="0.25">
      <c r="A11" s="981" t="s">
        <v>199</v>
      </c>
      <c r="B11" s="981" t="s">
        <v>200</v>
      </c>
      <c r="C11" s="981" t="s">
        <v>278</v>
      </c>
      <c r="D11" s="981">
        <v>2</v>
      </c>
      <c r="E11" s="981"/>
      <c r="F11" s="981">
        <v>3</v>
      </c>
      <c r="G11" s="981"/>
      <c r="H11" s="981">
        <v>5</v>
      </c>
    </row>
    <row r="12" spans="1:8" x14ac:dyDescent="0.25">
      <c r="A12" s="981" t="s">
        <v>199</v>
      </c>
      <c r="B12" s="981" t="s">
        <v>216</v>
      </c>
      <c r="C12" s="981" t="s">
        <v>278</v>
      </c>
      <c r="D12" s="981">
        <v>44</v>
      </c>
      <c r="E12" s="981">
        <v>10</v>
      </c>
      <c r="F12" s="981">
        <v>22</v>
      </c>
      <c r="G12" s="981">
        <v>2</v>
      </c>
      <c r="H12" s="981">
        <v>78</v>
      </c>
    </row>
    <row r="13" spans="1:8" x14ac:dyDescent="0.25">
      <c r="A13" s="981" t="s">
        <v>199</v>
      </c>
      <c r="B13" s="981" t="s">
        <v>200</v>
      </c>
      <c r="C13" s="981" t="s">
        <v>259</v>
      </c>
      <c r="D13" s="981">
        <v>3</v>
      </c>
      <c r="E13" s="981">
        <v>2</v>
      </c>
      <c r="F13" s="981">
        <v>3</v>
      </c>
      <c r="G13" s="981"/>
      <c r="H13" s="981">
        <v>8</v>
      </c>
    </row>
    <row r="14" spans="1:8" x14ac:dyDescent="0.25">
      <c r="A14" s="981" t="s">
        <v>199</v>
      </c>
      <c r="B14" s="981" t="s">
        <v>216</v>
      </c>
      <c r="C14" s="981" t="s">
        <v>259</v>
      </c>
      <c r="D14" s="981">
        <v>32</v>
      </c>
      <c r="E14" s="981">
        <v>9</v>
      </c>
      <c r="F14" s="981">
        <v>12</v>
      </c>
      <c r="G14" s="981"/>
      <c r="H14" s="981">
        <v>53</v>
      </c>
    </row>
    <row r="15" spans="1:8" x14ac:dyDescent="0.25">
      <c r="A15" s="981" t="s">
        <v>199</v>
      </c>
      <c r="B15" s="981" t="s">
        <v>200</v>
      </c>
      <c r="C15" s="981" t="s">
        <v>258</v>
      </c>
      <c r="D15" s="981">
        <v>2</v>
      </c>
      <c r="E15" s="981">
        <v>2</v>
      </c>
      <c r="F15" s="981">
        <v>6</v>
      </c>
      <c r="G15" s="981">
        <v>1</v>
      </c>
      <c r="H15" s="981">
        <v>11</v>
      </c>
    </row>
    <row r="16" spans="1:8" x14ac:dyDescent="0.25">
      <c r="A16" s="981" t="s">
        <v>199</v>
      </c>
      <c r="B16" s="981" t="s">
        <v>216</v>
      </c>
      <c r="C16" s="981" t="s">
        <v>258</v>
      </c>
      <c r="D16" s="981">
        <v>48</v>
      </c>
      <c r="E16" s="981">
        <v>8</v>
      </c>
      <c r="F16" s="981">
        <v>15</v>
      </c>
      <c r="G16" s="981">
        <v>1</v>
      </c>
      <c r="H16" s="981">
        <v>72</v>
      </c>
    </row>
  </sheetData>
  <pageMargins left="0.7" right="0.7" top="0.75" bottom="0.75" header="0.3" footer="0.3"/>
  <pageSetup paperSize="9" fitToHeight="50"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fitToPage="1"/>
  </sheetPr>
  <dimension ref="A4:F36"/>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6" x14ac:dyDescent="0.25">
      <c r="A4" s="980" t="s">
        <v>123</v>
      </c>
      <c r="B4" s="980" t="s">
        <v>534</v>
      </c>
      <c r="C4" s="980" t="s">
        <v>205</v>
      </c>
      <c r="D4" s="980" t="s">
        <v>278</v>
      </c>
      <c r="E4" s="980" t="s">
        <v>259</v>
      </c>
      <c r="F4" s="980" t="s">
        <v>258</v>
      </c>
    </row>
    <row r="5" spans="1:6" x14ac:dyDescent="0.25">
      <c r="A5" s="981" t="s">
        <v>31</v>
      </c>
      <c r="B5" s="981" t="s">
        <v>306</v>
      </c>
      <c r="C5" s="981">
        <v>8</v>
      </c>
      <c r="D5" s="981">
        <v>1</v>
      </c>
      <c r="E5" s="981">
        <v>1</v>
      </c>
      <c r="F5" s="981">
        <v>1</v>
      </c>
    </row>
    <row r="6" spans="1:6" x14ac:dyDescent="0.25">
      <c r="A6" s="981" t="s">
        <v>32</v>
      </c>
      <c r="B6" s="981" t="s">
        <v>307</v>
      </c>
      <c r="C6" s="981">
        <v>1</v>
      </c>
      <c r="D6" s="981">
        <v>3</v>
      </c>
      <c r="E6" s="981">
        <v>1</v>
      </c>
      <c r="F6" s="981">
        <v>1</v>
      </c>
    </row>
    <row r="7" spans="1:6" x14ac:dyDescent="0.25">
      <c r="A7" s="981" t="s">
        <v>33</v>
      </c>
      <c r="B7" s="981" t="s">
        <v>313</v>
      </c>
      <c r="C7" s="981"/>
      <c r="D7" s="981"/>
      <c r="E7" s="981"/>
      <c r="F7" s="981"/>
    </row>
    <row r="8" spans="1:6" x14ac:dyDescent="0.25">
      <c r="A8" s="981" t="s">
        <v>34</v>
      </c>
      <c r="B8" s="981" t="s">
        <v>308</v>
      </c>
      <c r="C8" s="981">
        <v>1</v>
      </c>
      <c r="D8" s="981">
        <v>3</v>
      </c>
      <c r="E8" s="981"/>
      <c r="F8" s="981">
        <v>1</v>
      </c>
    </row>
    <row r="9" spans="1:6" x14ac:dyDescent="0.25">
      <c r="A9" s="981" t="s">
        <v>262</v>
      </c>
      <c r="B9" s="981" t="s">
        <v>309</v>
      </c>
      <c r="C9" s="981">
        <v>6</v>
      </c>
      <c r="D9" s="981">
        <v>5</v>
      </c>
      <c r="E9" s="981">
        <v>2</v>
      </c>
      <c r="F9" s="981">
        <v>8</v>
      </c>
    </row>
    <row r="10" spans="1:6" x14ac:dyDescent="0.25">
      <c r="A10" s="981" t="s">
        <v>35</v>
      </c>
      <c r="B10" s="981" t="s">
        <v>287</v>
      </c>
      <c r="C10" s="981">
        <v>1</v>
      </c>
      <c r="D10" s="981"/>
      <c r="E10" s="981"/>
      <c r="F10" s="981"/>
    </row>
    <row r="11" spans="1:6" x14ac:dyDescent="0.25">
      <c r="A11" s="981" t="s">
        <v>36</v>
      </c>
      <c r="B11" s="981" t="s">
        <v>288</v>
      </c>
      <c r="C11" s="981">
        <v>2</v>
      </c>
      <c r="D11" s="981">
        <v>1</v>
      </c>
      <c r="E11" s="981"/>
      <c r="F11" s="981"/>
    </row>
    <row r="12" spans="1:6" x14ac:dyDescent="0.25">
      <c r="A12" s="981" t="s">
        <v>37</v>
      </c>
      <c r="B12" s="981" t="s">
        <v>314</v>
      </c>
      <c r="C12" s="981">
        <v>2</v>
      </c>
      <c r="D12" s="981">
        <v>9</v>
      </c>
      <c r="E12" s="981">
        <v>3</v>
      </c>
      <c r="F12" s="981">
        <v>3</v>
      </c>
    </row>
    <row r="13" spans="1:6" x14ac:dyDescent="0.25">
      <c r="A13" s="981" t="s">
        <v>38</v>
      </c>
      <c r="B13" s="981" t="s">
        <v>289</v>
      </c>
      <c r="C13" s="981">
        <v>3</v>
      </c>
      <c r="D13" s="981">
        <v>1</v>
      </c>
      <c r="E13" s="981">
        <v>1</v>
      </c>
      <c r="F13" s="981">
        <v>3</v>
      </c>
    </row>
    <row r="14" spans="1:6" x14ac:dyDescent="0.25">
      <c r="A14" s="981" t="s">
        <v>39</v>
      </c>
      <c r="B14" s="981" t="s">
        <v>316</v>
      </c>
      <c r="C14" s="981">
        <v>1</v>
      </c>
      <c r="D14" s="981">
        <v>3</v>
      </c>
      <c r="E14" s="981"/>
      <c r="F14" s="981">
        <v>4</v>
      </c>
    </row>
    <row r="15" spans="1:6" x14ac:dyDescent="0.25">
      <c r="A15" s="981" t="s">
        <v>40</v>
      </c>
      <c r="B15" s="981" t="s">
        <v>290</v>
      </c>
      <c r="C15" s="981">
        <v>2</v>
      </c>
      <c r="D15" s="981">
        <v>2</v>
      </c>
      <c r="E15" s="981"/>
      <c r="F15" s="981"/>
    </row>
    <row r="16" spans="1:6" x14ac:dyDescent="0.25">
      <c r="A16" s="981" t="s">
        <v>41</v>
      </c>
      <c r="B16" s="981" t="s">
        <v>291</v>
      </c>
      <c r="C16" s="981"/>
      <c r="D16" s="981"/>
      <c r="E16" s="981"/>
      <c r="F16" s="981"/>
    </row>
    <row r="17" spans="1:6" x14ac:dyDescent="0.25">
      <c r="A17" s="981" t="s">
        <v>42</v>
      </c>
      <c r="B17" s="981" t="s">
        <v>293</v>
      </c>
      <c r="C17" s="981">
        <v>5</v>
      </c>
      <c r="D17" s="981">
        <v>2</v>
      </c>
      <c r="E17" s="981"/>
      <c r="F17" s="981"/>
    </row>
    <row r="18" spans="1:6" x14ac:dyDescent="0.25">
      <c r="A18" s="981" t="s">
        <v>43</v>
      </c>
      <c r="B18" s="981" t="s">
        <v>318</v>
      </c>
      <c r="C18" s="981">
        <v>6</v>
      </c>
      <c r="D18" s="981"/>
      <c r="E18" s="981">
        <v>3</v>
      </c>
      <c r="F18" s="981">
        <v>6</v>
      </c>
    </row>
    <row r="19" spans="1:6" x14ac:dyDescent="0.25">
      <c r="A19" s="981" t="s">
        <v>124</v>
      </c>
      <c r="B19" s="981" t="s">
        <v>317</v>
      </c>
      <c r="C19" s="981">
        <v>16</v>
      </c>
      <c r="D19" s="981">
        <v>19</v>
      </c>
      <c r="E19" s="981">
        <v>20</v>
      </c>
      <c r="F19" s="981">
        <v>23</v>
      </c>
    </row>
    <row r="20" spans="1:6" x14ac:dyDescent="0.25">
      <c r="A20" s="981" t="s">
        <v>44</v>
      </c>
      <c r="B20" s="981" t="s">
        <v>294</v>
      </c>
      <c r="C20" s="981">
        <v>2</v>
      </c>
      <c r="D20" s="981">
        <v>1</v>
      </c>
      <c r="E20" s="981"/>
      <c r="F20" s="981"/>
    </row>
    <row r="21" spans="1:6" x14ac:dyDescent="0.25">
      <c r="A21" s="981" t="s">
        <v>45</v>
      </c>
      <c r="B21" s="981" t="s">
        <v>295</v>
      </c>
      <c r="C21" s="981">
        <v>4</v>
      </c>
      <c r="D21" s="981">
        <v>4</v>
      </c>
      <c r="E21" s="981">
        <v>3</v>
      </c>
      <c r="F21" s="981">
        <v>2</v>
      </c>
    </row>
    <row r="22" spans="1:6" x14ac:dyDescent="0.25">
      <c r="A22" s="981" t="s">
        <v>46</v>
      </c>
      <c r="B22" s="981" t="s">
        <v>296</v>
      </c>
      <c r="C22" s="981"/>
      <c r="D22" s="981">
        <v>3</v>
      </c>
      <c r="E22" s="981">
        <v>2</v>
      </c>
      <c r="F22" s="981">
        <v>1</v>
      </c>
    </row>
    <row r="23" spans="1:6" x14ac:dyDescent="0.25">
      <c r="A23" s="981" t="s">
        <v>47</v>
      </c>
      <c r="B23" s="981" t="s">
        <v>297</v>
      </c>
      <c r="C23" s="981"/>
      <c r="D23" s="981"/>
      <c r="E23" s="981"/>
      <c r="F23" s="981">
        <v>1</v>
      </c>
    </row>
    <row r="24" spans="1:6" x14ac:dyDescent="0.25">
      <c r="A24" s="981" t="s">
        <v>48</v>
      </c>
      <c r="B24" s="981" t="s">
        <v>292</v>
      </c>
      <c r="C24" s="981"/>
      <c r="D24" s="981"/>
      <c r="E24" s="981"/>
      <c r="F24" s="981"/>
    </row>
    <row r="25" spans="1:6" x14ac:dyDescent="0.25">
      <c r="A25" s="981" t="s">
        <v>49</v>
      </c>
      <c r="B25" s="981" t="s">
        <v>298</v>
      </c>
      <c r="C25" s="981">
        <v>4</v>
      </c>
      <c r="D25" s="981">
        <v>5</v>
      </c>
      <c r="E25" s="981">
        <v>2</v>
      </c>
      <c r="F25" s="981">
        <v>2</v>
      </c>
    </row>
    <row r="26" spans="1:6" x14ac:dyDescent="0.25">
      <c r="A26" s="981" t="s">
        <v>50</v>
      </c>
      <c r="B26" s="981" t="s">
        <v>315</v>
      </c>
      <c r="C26" s="981">
        <v>7</v>
      </c>
      <c r="D26" s="981">
        <v>3</v>
      </c>
      <c r="E26" s="981">
        <v>6</v>
      </c>
      <c r="F26" s="981">
        <v>3</v>
      </c>
    </row>
    <row r="27" spans="1:6" x14ac:dyDescent="0.25">
      <c r="A27" s="981" t="s">
        <v>51</v>
      </c>
      <c r="B27" s="981" t="s">
        <v>299</v>
      </c>
      <c r="C27" s="981"/>
      <c r="D27" s="981"/>
      <c r="E27" s="981"/>
      <c r="F27" s="981"/>
    </row>
    <row r="28" spans="1:6" x14ac:dyDescent="0.25">
      <c r="A28" s="981" t="s">
        <v>52</v>
      </c>
      <c r="B28" s="981" t="s">
        <v>300</v>
      </c>
      <c r="C28" s="981"/>
      <c r="D28" s="981"/>
      <c r="E28" s="981"/>
      <c r="F28" s="981"/>
    </row>
    <row r="29" spans="1:6" x14ac:dyDescent="0.25">
      <c r="A29" s="981" t="s">
        <v>53</v>
      </c>
      <c r="B29" s="981" t="s">
        <v>310</v>
      </c>
      <c r="C29" s="981">
        <v>3</v>
      </c>
      <c r="D29" s="981">
        <v>2</v>
      </c>
      <c r="E29" s="981">
        <v>1</v>
      </c>
      <c r="F29" s="981">
        <v>1</v>
      </c>
    </row>
    <row r="30" spans="1:6" x14ac:dyDescent="0.25">
      <c r="A30" s="981" t="s">
        <v>54</v>
      </c>
      <c r="B30" s="981" t="s">
        <v>301</v>
      </c>
      <c r="C30" s="981"/>
      <c r="D30" s="981">
        <v>2</v>
      </c>
      <c r="E30" s="981">
        <v>3</v>
      </c>
      <c r="F30" s="981">
        <v>3</v>
      </c>
    </row>
    <row r="31" spans="1:6" x14ac:dyDescent="0.25">
      <c r="A31" s="981" t="s">
        <v>55</v>
      </c>
      <c r="B31" s="981" t="s">
        <v>302</v>
      </c>
      <c r="C31" s="981"/>
      <c r="D31" s="981"/>
      <c r="E31" s="981"/>
      <c r="F31" s="981"/>
    </row>
    <row r="32" spans="1:6" x14ac:dyDescent="0.25">
      <c r="A32" s="981" t="s">
        <v>56</v>
      </c>
      <c r="B32" s="981" t="s">
        <v>303</v>
      </c>
      <c r="C32" s="981">
        <v>3</v>
      </c>
      <c r="D32" s="981"/>
      <c r="E32" s="981">
        <v>1</v>
      </c>
      <c r="F32" s="981"/>
    </row>
    <row r="33" spans="1:6" x14ac:dyDescent="0.25">
      <c r="A33" s="981" t="s">
        <v>57</v>
      </c>
      <c r="B33" s="981" t="s">
        <v>304</v>
      </c>
      <c r="C33" s="981">
        <v>5</v>
      </c>
      <c r="D33" s="981">
        <v>2</v>
      </c>
      <c r="E33" s="981"/>
      <c r="F33" s="981">
        <v>1</v>
      </c>
    </row>
    <row r="34" spans="1:6" x14ac:dyDescent="0.25">
      <c r="A34" s="981" t="s">
        <v>58</v>
      </c>
      <c r="B34" s="981" t="s">
        <v>305</v>
      </c>
      <c r="C34" s="981">
        <v>2</v>
      </c>
      <c r="D34" s="981">
        <v>3</v>
      </c>
      <c r="E34" s="981"/>
      <c r="F34" s="981">
        <v>1</v>
      </c>
    </row>
    <row r="35" spans="1:6" x14ac:dyDescent="0.25">
      <c r="A35" s="981" t="s">
        <v>59</v>
      </c>
      <c r="B35" s="981" t="s">
        <v>311</v>
      </c>
      <c r="C35" s="981">
        <v>2</v>
      </c>
      <c r="D35" s="981">
        <v>1</v>
      </c>
      <c r="E35" s="981"/>
      <c r="F35" s="981">
        <v>2</v>
      </c>
    </row>
    <row r="36" spans="1:6" x14ac:dyDescent="0.25">
      <c r="A36" s="981" t="s">
        <v>60</v>
      </c>
      <c r="B36" s="981" t="s">
        <v>312</v>
      </c>
      <c r="C36" s="981">
        <v>4</v>
      </c>
      <c r="D36" s="981">
        <v>3</v>
      </c>
      <c r="E36" s="981">
        <v>4</v>
      </c>
      <c r="F36" s="981">
        <v>5</v>
      </c>
    </row>
  </sheetData>
  <pageMargins left="0.7" right="0.7" top="0.75" bottom="0.75" header="0.3" footer="0.3"/>
  <pageSetup paperSize="9" fitToHeight="50"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fitToPage="1"/>
  </sheetPr>
  <dimension ref="A4:J13"/>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10" x14ac:dyDescent="0.25">
      <c r="A4" s="980" t="s">
        <v>334</v>
      </c>
      <c r="B4" s="980" t="s">
        <v>985</v>
      </c>
      <c r="C4" s="980" t="s">
        <v>986</v>
      </c>
      <c r="D4" s="980" t="s">
        <v>987</v>
      </c>
      <c r="E4" s="980" t="s">
        <v>988</v>
      </c>
      <c r="F4" s="980" t="s">
        <v>989</v>
      </c>
      <c r="G4" s="980" t="s">
        <v>990</v>
      </c>
      <c r="H4" s="980" t="s">
        <v>500</v>
      </c>
      <c r="I4" s="980" t="s">
        <v>991</v>
      </c>
      <c r="J4" s="980" t="s">
        <v>992</v>
      </c>
    </row>
    <row r="5" spans="1:10" x14ac:dyDescent="0.25">
      <c r="A5" s="981" t="s">
        <v>984</v>
      </c>
      <c r="B5" s="981">
        <v>33998</v>
      </c>
      <c r="C5" s="981">
        <v>18732</v>
      </c>
      <c r="D5" s="981">
        <v>52730</v>
      </c>
      <c r="E5" s="981"/>
      <c r="F5" s="981"/>
      <c r="G5" s="981"/>
      <c r="H5" s="981">
        <v>2364850</v>
      </c>
      <c r="I5" s="981">
        <v>2.23</v>
      </c>
      <c r="J5" s="981"/>
    </row>
    <row r="6" spans="1:10" x14ac:dyDescent="0.25">
      <c r="A6" s="981" t="s">
        <v>330</v>
      </c>
      <c r="B6" s="981">
        <v>28846</v>
      </c>
      <c r="C6" s="981">
        <v>27699</v>
      </c>
      <c r="D6" s="981">
        <v>56545</v>
      </c>
      <c r="E6" s="981">
        <v>46395</v>
      </c>
      <c r="F6" s="981"/>
      <c r="G6" s="981"/>
      <c r="H6" s="981">
        <v>2376424</v>
      </c>
      <c r="I6" s="981">
        <v>2.379</v>
      </c>
      <c r="J6" s="981">
        <v>1.952</v>
      </c>
    </row>
    <row r="7" spans="1:10" x14ac:dyDescent="0.25">
      <c r="A7" s="981" t="s">
        <v>208</v>
      </c>
      <c r="B7" s="981">
        <v>26013</v>
      </c>
      <c r="C7" s="981">
        <v>30238</v>
      </c>
      <c r="D7" s="981">
        <v>56251</v>
      </c>
      <c r="E7" s="981">
        <v>44122</v>
      </c>
      <c r="F7" s="981"/>
      <c r="G7" s="981"/>
      <c r="H7" s="981">
        <v>2386660</v>
      </c>
      <c r="I7" s="981">
        <v>2.3570000000000002</v>
      </c>
      <c r="J7" s="981">
        <v>1.849</v>
      </c>
    </row>
    <row r="8" spans="1:10" x14ac:dyDescent="0.25">
      <c r="A8" s="981" t="s">
        <v>207</v>
      </c>
      <c r="B8" s="981">
        <v>29579</v>
      </c>
      <c r="C8" s="981">
        <v>41480</v>
      </c>
      <c r="D8" s="981">
        <v>71059</v>
      </c>
      <c r="E8" s="981">
        <v>46172</v>
      </c>
      <c r="F8" s="985">
        <v>30361</v>
      </c>
      <c r="G8" s="985">
        <v>15811</v>
      </c>
      <c r="H8" s="981">
        <v>2400342</v>
      </c>
      <c r="I8" s="981">
        <v>2.96</v>
      </c>
      <c r="J8" s="981">
        <v>1.9239999999999999</v>
      </c>
    </row>
    <row r="9" spans="1:10" x14ac:dyDescent="0.25">
      <c r="A9" s="981" t="s">
        <v>206</v>
      </c>
      <c r="B9" s="981">
        <v>26986</v>
      </c>
      <c r="C9" s="981">
        <v>38730</v>
      </c>
      <c r="D9" s="981">
        <v>65716</v>
      </c>
      <c r="E9" s="981">
        <v>41832</v>
      </c>
      <c r="F9" s="985">
        <v>28032</v>
      </c>
      <c r="G9" s="985">
        <v>13800</v>
      </c>
      <c r="H9" s="981">
        <v>2416014</v>
      </c>
      <c r="I9" s="981">
        <v>2.72</v>
      </c>
      <c r="J9" s="981">
        <v>1.7310000000000001</v>
      </c>
    </row>
    <row r="10" spans="1:10" x14ac:dyDescent="0.25">
      <c r="A10" s="981" t="s">
        <v>205</v>
      </c>
      <c r="B10" s="981">
        <v>28338</v>
      </c>
      <c r="C10" s="981">
        <v>43381</v>
      </c>
      <c r="D10" s="981">
        <v>71719</v>
      </c>
      <c r="E10" s="981">
        <v>43710</v>
      </c>
      <c r="F10" s="985">
        <v>28897</v>
      </c>
      <c r="G10" s="985">
        <v>14813</v>
      </c>
      <c r="H10" s="981">
        <v>2429943</v>
      </c>
      <c r="I10" s="981">
        <v>2.9510000000000001</v>
      </c>
      <c r="J10" s="981">
        <v>1.7989999999999999</v>
      </c>
    </row>
    <row r="11" spans="1:10" x14ac:dyDescent="0.25">
      <c r="A11" s="981" t="s">
        <v>278</v>
      </c>
      <c r="B11" s="981">
        <v>29018</v>
      </c>
      <c r="C11" s="981">
        <v>41794</v>
      </c>
      <c r="D11" s="981">
        <v>70812</v>
      </c>
      <c r="E11" s="981">
        <v>44327</v>
      </c>
      <c r="F11" s="985">
        <v>27957</v>
      </c>
      <c r="G11" s="985">
        <v>16370</v>
      </c>
      <c r="H11" s="981">
        <v>2446171</v>
      </c>
      <c r="I11" s="981">
        <v>2.895</v>
      </c>
      <c r="J11" s="981">
        <v>1.8120000000000001</v>
      </c>
    </row>
    <row r="12" spans="1:10" x14ac:dyDescent="0.25">
      <c r="A12" s="981" t="s">
        <v>259</v>
      </c>
      <c r="B12" s="981">
        <v>27756</v>
      </c>
      <c r="C12" s="981">
        <v>42077</v>
      </c>
      <c r="D12" s="981">
        <v>69833</v>
      </c>
      <c r="E12" s="981">
        <v>42388</v>
      </c>
      <c r="F12" s="985">
        <v>28114</v>
      </c>
      <c r="G12" s="985">
        <v>14274</v>
      </c>
      <c r="H12" s="981">
        <v>2462736</v>
      </c>
      <c r="I12" s="981">
        <v>2.8359999999999999</v>
      </c>
      <c r="J12" s="981">
        <v>1.7210000000000001</v>
      </c>
    </row>
    <row r="13" spans="1:10" x14ac:dyDescent="0.25">
      <c r="A13" s="981" t="s">
        <v>258</v>
      </c>
      <c r="B13" s="981">
        <v>24452</v>
      </c>
      <c r="C13" s="981">
        <v>44745</v>
      </c>
      <c r="D13" s="981">
        <v>69197</v>
      </c>
      <c r="E13" s="981">
        <v>37536</v>
      </c>
      <c r="F13" s="985">
        <v>25632</v>
      </c>
      <c r="G13" s="985">
        <v>11904</v>
      </c>
      <c r="H13" s="981">
        <v>2477275</v>
      </c>
      <c r="I13" s="981">
        <v>2.7930000000000001</v>
      </c>
      <c r="J13" s="981">
        <v>1.5149999999999999</v>
      </c>
    </row>
  </sheetData>
  <pageMargins left="0.7" right="0.7" top="0.75" bottom="0.75" header="0.3" footer="0.3"/>
  <pageSetup paperSize="9" fitToHeight="50"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4:W10"/>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23" x14ac:dyDescent="0.25">
      <c r="A4" s="980" t="s">
        <v>334</v>
      </c>
      <c r="B4" s="980" t="s">
        <v>993</v>
      </c>
      <c r="C4" s="984">
        <v>43595</v>
      </c>
      <c r="D4" s="984">
        <v>43785</v>
      </c>
      <c r="E4" s="980" t="s">
        <v>994</v>
      </c>
      <c r="F4" s="980" t="s">
        <v>995</v>
      </c>
      <c r="G4" s="980" t="s">
        <v>996</v>
      </c>
      <c r="H4" s="980" t="s">
        <v>997</v>
      </c>
      <c r="I4" s="980" t="s">
        <v>998</v>
      </c>
      <c r="J4" s="980" t="s">
        <v>999</v>
      </c>
      <c r="K4" s="980" t="s">
        <v>1000</v>
      </c>
      <c r="L4" s="980" t="s">
        <v>1001</v>
      </c>
      <c r="M4" s="980" t="s">
        <v>1002</v>
      </c>
      <c r="N4" s="980" t="s">
        <v>1003</v>
      </c>
      <c r="O4" s="980" t="s">
        <v>1004</v>
      </c>
      <c r="P4" s="980" t="s">
        <v>1</v>
      </c>
      <c r="Q4" s="980" t="s">
        <v>1005</v>
      </c>
      <c r="R4" s="980" t="s">
        <v>1006</v>
      </c>
      <c r="S4" s="980" t="s">
        <v>1007</v>
      </c>
      <c r="T4" s="980" t="s">
        <v>1008</v>
      </c>
      <c r="U4" s="980" t="s">
        <v>1009</v>
      </c>
      <c r="V4" s="980" t="s">
        <v>1010</v>
      </c>
      <c r="W4" s="980" t="s">
        <v>1011</v>
      </c>
    </row>
    <row r="5" spans="1:23" x14ac:dyDescent="0.25">
      <c r="A5" s="981" t="s">
        <v>207</v>
      </c>
      <c r="B5" s="981">
        <v>9522</v>
      </c>
      <c r="C5" s="981">
        <v>8380</v>
      </c>
      <c r="D5" s="981">
        <v>6148</v>
      </c>
      <c r="E5" s="981">
        <v>21436</v>
      </c>
      <c r="F5" s="981">
        <v>45977</v>
      </c>
      <c r="G5" s="981">
        <v>43452</v>
      </c>
      <c r="H5" s="981">
        <v>134915</v>
      </c>
      <c r="I5" s="981">
        <v>3.2383018810174025</v>
      </c>
      <c r="J5" s="981">
        <v>2.49698306044308</v>
      </c>
      <c r="K5" s="981">
        <v>1.7888109120957136</v>
      </c>
      <c r="L5" s="981">
        <v>2.1806181741239281</v>
      </c>
      <c r="M5" s="981">
        <v>2.1172132193088817</v>
      </c>
      <c r="N5" s="981">
        <v>3.6217394384686874</v>
      </c>
      <c r="O5" s="981">
        <v>2.532331024644781</v>
      </c>
      <c r="P5" s="981">
        <v>2013</v>
      </c>
      <c r="Q5" s="981">
        <v>294043</v>
      </c>
      <c r="R5" s="981">
        <v>335605</v>
      </c>
      <c r="S5" s="981">
        <v>343692</v>
      </c>
      <c r="T5" s="981">
        <v>983024</v>
      </c>
      <c r="U5" s="981">
        <v>2171581</v>
      </c>
      <c r="V5" s="981">
        <v>1199755</v>
      </c>
      <c r="W5" s="981">
        <v>5327700</v>
      </c>
    </row>
    <row r="6" spans="1:23" x14ac:dyDescent="0.25">
      <c r="A6" s="981" t="s">
        <v>206</v>
      </c>
      <c r="B6" s="981">
        <v>9301</v>
      </c>
      <c r="C6" s="981">
        <v>8100</v>
      </c>
      <c r="D6" s="981">
        <v>5611</v>
      </c>
      <c r="E6" s="981">
        <v>17596</v>
      </c>
      <c r="F6" s="981">
        <v>41757</v>
      </c>
      <c r="G6" s="981">
        <v>43049</v>
      </c>
      <c r="H6" s="981">
        <v>125414</v>
      </c>
      <c r="I6" s="981">
        <v>3.1868346484751093</v>
      </c>
      <c r="J6" s="981">
        <v>2.358737813187965</v>
      </c>
      <c r="K6" s="981">
        <v>1.6718611261747125</v>
      </c>
      <c r="L6" s="981">
        <v>1.788600366339834</v>
      </c>
      <c r="M6" s="981">
        <v>1.9208273399000049</v>
      </c>
      <c r="N6" s="981">
        <v>3.5314085274217573</v>
      </c>
      <c r="O6" s="981">
        <v>2.345238985713217</v>
      </c>
      <c r="P6" s="981">
        <v>2014</v>
      </c>
      <c r="Q6" s="981">
        <v>291857</v>
      </c>
      <c r="R6" s="981">
        <v>343404</v>
      </c>
      <c r="S6" s="981">
        <v>335614</v>
      </c>
      <c r="T6" s="981">
        <v>983786</v>
      </c>
      <c r="U6" s="981">
        <v>2173907</v>
      </c>
      <c r="V6" s="981">
        <v>1219032</v>
      </c>
      <c r="W6" s="981">
        <v>5347600</v>
      </c>
    </row>
    <row r="7" spans="1:23" x14ac:dyDescent="0.25">
      <c r="A7" s="981" t="s">
        <v>205</v>
      </c>
      <c r="B7" s="981">
        <v>9270</v>
      </c>
      <c r="C7" s="981">
        <v>8385</v>
      </c>
      <c r="D7" s="981">
        <v>5779</v>
      </c>
      <c r="E7" s="981">
        <v>17567</v>
      </c>
      <c r="F7" s="981">
        <v>43993</v>
      </c>
      <c r="G7" s="981">
        <v>49733</v>
      </c>
      <c r="H7" s="981">
        <v>134727</v>
      </c>
      <c r="I7" s="981">
        <v>3.1836633765377402</v>
      </c>
      <c r="J7" s="981">
        <v>2.4072968224256135</v>
      </c>
      <c r="K7" s="981">
        <v>1.7431198195046029</v>
      </c>
      <c r="L7" s="981">
        <v>1.7731512977404358</v>
      </c>
      <c r="M7" s="981">
        <v>2.0208270172440721</v>
      </c>
      <c r="N7" s="981">
        <v>4.0293256937670341</v>
      </c>
      <c r="O7" s="981">
        <v>2.5074818537130095</v>
      </c>
      <c r="P7" s="981">
        <v>2015</v>
      </c>
      <c r="Q7" s="981">
        <v>291174</v>
      </c>
      <c r="R7" s="981">
        <v>348316</v>
      </c>
      <c r="S7" s="981">
        <v>331532</v>
      </c>
      <c r="T7" s="981">
        <v>990722</v>
      </c>
      <c r="U7" s="981">
        <v>2176980</v>
      </c>
      <c r="V7" s="981">
        <v>1234276</v>
      </c>
      <c r="W7" s="981">
        <v>5373000</v>
      </c>
    </row>
    <row r="8" spans="1:23" x14ac:dyDescent="0.25">
      <c r="A8" s="981" t="s">
        <v>278</v>
      </c>
      <c r="B8" s="981">
        <v>7684</v>
      </c>
      <c r="C8" s="981">
        <v>7946</v>
      </c>
      <c r="D8" s="981">
        <v>5618</v>
      </c>
      <c r="E8" s="981">
        <v>13022</v>
      </c>
      <c r="F8" s="981">
        <v>42674</v>
      </c>
      <c r="G8" s="981">
        <v>52263</v>
      </c>
      <c r="H8" s="981">
        <v>129207</v>
      </c>
      <c r="I8" s="981">
        <v>2.6751335129753024</v>
      </c>
      <c r="J8" s="981">
        <v>2.2351868938047121</v>
      </c>
      <c r="K8" s="981">
        <v>1.702186967877205</v>
      </c>
      <c r="L8" s="981">
        <v>1.3074100289654274</v>
      </c>
      <c r="M8" s="981">
        <v>1.9541587349851379</v>
      </c>
      <c r="N8" s="981">
        <v>4.1738542924501179</v>
      </c>
      <c r="O8" s="981">
        <v>2.3906414787129719</v>
      </c>
      <c r="P8" s="981">
        <v>2016</v>
      </c>
      <c r="Q8" s="981">
        <v>287238</v>
      </c>
      <c r="R8" s="981">
        <v>355496</v>
      </c>
      <c r="S8" s="981">
        <v>330046</v>
      </c>
      <c r="T8" s="981">
        <v>996015</v>
      </c>
      <c r="U8" s="981">
        <v>2183753</v>
      </c>
      <c r="V8" s="981">
        <v>1252152</v>
      </c>
      <c r="W8" s="981">
        <v>5404700</v>
      </c>
    </row>
    <row r="9" spans="1:23" x14ac:dyDescent="0.25">
      <c r="A9" s="981" t="s">
        <v>259</v>
      </c>
      <c r="B9" s="981">
        <v>7694</v>
      </c>
      <c r="C9" s="981">
        <v>7954</v>
      </c>
      <c r="D9" s="981">
        <v>5364</v>
      </c>
      <c r="E9" s="981">
        <v>13881</v>
      </c>
      <c r="F9" s="981">
        <v>42205</v>
      </c>
      <c r="G9" s="981">
        <v>50850</v>
      </c>
      <c r="H9" s="981">
        <v>127948</v>
      </c>
      <c r="I9" s="981">
        <v>2.7273436226099408</v>
      </c>
      <c r="J9" s="981">
        <v>2.209395346770072</v>
      </c>
      <c r="K9" s="981">
        <v>1.6209257770713341</v>
      </c>
      <c r="L9" s="981">
        <v>1.3984682435577371</v>
      </c>
      <c r="M9" s="981">
        <v>1.9291712357163395</v>
      </c>
      <c r="N9" s="981">
        <v>3.9993676516043477</v>
      </c>
      <c r="O9" s="981">
        <v>2.3585754313523077</v>
      </c>
      <c r="P9" s="981">
        <v>2017</v>
      </c>
      <c r="Q9" s="981">
        <v>282106</v>
      </c>
      <c r="R9" s="981">
        <v>360008</v>
      </c>
      <c r="S9" s="981">
        <v>330922</v>
      </c>
      <c r="T9" s="981">
        <v>992586</v>
      </c>
      <c r="U9" s="981">
        <v>2187727</v>
      </c>
      <c r="V9" s="981">
        <v>1271451</v>
      </c>
      <c r="W9" s="981">
        <v>5424800</v>
      </c>
    </row>
    <row r="10" spans="1:23" x14ac:dyDescent="0.25">
      <c r="A10" s="981" t="s">
        <v>258</v>
      </c>
      <c r="B10" s="981">
        <v>7262</v>
      </c>
      <c r="C10" s="981">
        <v>7985</v>
      </c>
      <c r="D10" s="981">
        <v>5512</v>
      </c>
      <c r="E10" s="981">
        <v>13940</v>
      </c>
      <c r="F10" s="981">
        <v>41138</v>
      </c>
      <c r="G10" s="981">
        <v>48731</v>
      </c>
      <c r="H10" s="981">
        <v>124568</v>
      </c>
      <c r="I10" s="981">
        <v>2.6229673989207622</v>
      </c>
      <c r="J10" s="981">
        <v>2.2078320665142246</v>
      </c>
      <c r="K10" s="981">
        <v>1.6481134303902307</v>
      </c>
      <c r="L10" s="981">
        <v>1.4145003536250884</v>
      </c>
      <c r="M10" s="981">
        <v>1.8792790051853994</v>
      </c>
      <c r="N10" s="981">
        <v>3.7758699509526652</v>
      </c>
      <c r="O10" s="981">
        <v>2.2906529854177009</v>
      </c>
      <c r="P10" s="981">
        <v>2018</v>
      </c>
      <c r="Q10" s="981">
        <v>276862</v>
      </c>
      <c r="R10" s="981">
        <v>361667</v>
      </c>
      <c r="S10" s="981">
        <v>334443</v>
      </c>
      <c r="T10" s="981">
        <v>985507</v>
      </c>
      <c r="U10" s="981">
        <v>2189031</v>
      </c>
      <c r="V10" s="981">
        <v>1290590</v>
      </c>
      <c r="W10" s="981">
        <v>5438100</v>
      </c>
    </row>
  </sheetData>
  <pageMargins left="0.7" right="0.7" top="0.75" bottom="0.75" header="0.3" footer="0.3"/>
  <pageSetup paperSize="9" fitToHeight="5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D9B3FF"/>
  </sheetPr>
  <dimension ref="A1:H80"/>
  <sheetViews>
    <sheetView topLeftCell="A34" workbookViewId="0">
      <selection activeCell="C46" sqref="C46"/>
    </sheetView>
  </sheetViews>
  <sheetFormatPr defaultRowHeight="15" x14ac:dyDescent="0.25"/>
  <cols>
    <col min="1" max="1" width="21.85546875" bestFit="1" customWidth="1"/>
    <col min="2" max="2" width="12" bestFit="1" customWidth="1"/>
    <col min="3" max="3" width="26.140625" customWidth="1"/>
    <col min="4" max="4" width="33.42578125" customWidth="1"/>
    <col min="5" max="5" width="34.42578125" customWidth="1"/>
    <col min="6" max="6" width="31.85546875" customWidth="1"/>
    <col min="7" max="7" width="24.140625" bestFit="1" customWidth="1"/>
    <col min="8" max="8" width="16.85546875" customWidth="1"/>
  </cols>
  <sheetData>
    <row r="1" spans="1:6" x14ac:dyDescent="0.25">
      <c r="D1" s="571"/>
      <c r="E1" s="571"/>
    </row>
    <row r="2" spans="1:6" x14ac:dyDescent="0.25">
      <c r="D2" s="571"/>
      <c r="E2" s="571"/>
    </row>
    <row r="3" spans="1:6" x14ac:dyDescent="0.25">
      <c r="D3" s="571"/>
      <c r="E3" s="571"/>
    </row>
    <row r="4" spans="1:6" x14ac:dyDescent="0.25">
      <c r="D4" s="571"/>
      <c r="E4" s="571"/>
    </row>
    <row r="5" spans="1:6" x14ac:dyDescent="0.25">
      <c r="A5" s="569" t="s">
        <v>334</v>
      </c>
      <c r="B5" t="s">
        <v>258</v>
      </c>
      <c r="C5" s="571"/>
      <c r="D5" s="571"/>
      <c r="E5" s="571"/>
    </row>
    <row r="6" spans="1:6" x14ac:dyDescent="0.25">
      <c r="A6" s="570"/>
      <c r="B6" s="571"/>
      <c r="C6" s="571"/>
      <c r="D6" s="571"/>
      <c r="E6" s="571"/>
    </row>
    <row r="7" spans="1:6" x14ac:dyDescent="0.25">
      <c r="A7" s="569" t="s">
        <v>250</v>
      </c>
      <c r="B7" t="s">
        <v>256</v>
      </c>
      <c r="C7" t="s">
        <v>343</v>
      </c>
      <c r="D7" t="s">
        <v>344</v>
      </c>
      <c r="E7" t="s">
        <v>345</v>
      </c>
      <c r="F7" t="s">
        <v>346</v>
      </c>
    </row>
    <row r="8" spans="1:6" x14ac:dyDescent="0.25">
      <c r="A8" s="986" t="s">
        <v>31</v>
      </c>
      <c r="B8" s="571">
        <v>19</v>
      </c>
      <c r="C8" s="571">
        <v>8</v>
      </c>
      <c r="D8" s="571">
        <v>2</v>
      </c>
      <c r="E8" s="571">
        <v>3</v>
      </c>
      <c r="F8" s="571">
        <v>6</v>
      </c>
    </row>
    <row r="9" spans="1:6" x14ac:dyDescent="0.25">
      <c r="A9" s="986" t="s">
        <v>32</v>
      </c>
      <c r="B9" s="571">
        <v>37</v>
      </c>
      <c r="C9" s="571">
        <v>31</v>
      </c>
      <c r="D9" s="571"/>
      <c r="E9" s="571">
        <v>5</v>
      </c>
      <c r="F9" s="571">
        <v>1</v>
      </c>
    </row>
    <row r="10" spans="1:6" x14ac:dyDescent="0.25">
      <c r="A10" s="986" t="s">
        <v>33</v>
      </c>
      <c r="B10" s="571">
        <v>13</v>
      </c>
      <c r="C10" s="571">
        <v>11</v>
      </c>
      <c r="D10" s="571"/>
      <c r="E10" s="571">
        <v>1</v>
      </c>
      <c r="F10" s="571">
        <v>1</v>
      </c>
    </row>
    <row r="11" spans="1:6" x14ac:dyDescent="0.25">
      <c r="A11" s="986" t="s">
        <v>34</v>
      </c>
      <c r="B11" s="571">
        <v>51</v>
      </c>
      <c r="C11" s="571">
        <v>25</v>
      </c>
      <c r="D11" s="571">
        <v>1</v>
      </c>
      <c r="E11" s="571">
        <v>25</v>
      </c>
      <c r="F11" s="571"/>
    </row>
    <row r="12" spans="1:6" x14ac:dyDescent="0.25">
      <c r="A12" s="986" t="s">
        <v>262</v>
      </c>
      <c r="B12" s="571">
        <v>25</v>
      </c>
      <c r="C12" s="571">
        <v>12</v>
      </c>
      <c r="D12" s="571">
        <v>4</v>
      </c>
      <c r="E12" s="571">
        <v>3</v>
      </c>
      <c r="F12" s="571">
        <v>6</v>
      </c>
    </row>
    <row r="13" spans="1:6" x14ac:dyDescent="0.25">
      <c r="A13" s="986" t="s">
        <v>35</v>
      </c>
      <c r="B13" s="571">
        <v>5</v>
      </c>
      <c r="C13" s="571">
        <v>3</v>
      </c>
      <c r="D13" s="571"/>
      <c r="E13" s="571">
        <v>2</v>
      </c>
      <c r="F13" s="571"/>
    </row>
    <row r="14" spans="1:6" x14ac:dyDescent="0.25">
      <c r="A14" s="986" t="s">
        <v>36</v>
      </c>
      <c r="B14" s="571">
        <v>30</v>
      </c>
      <c r="C14" s="571">
        <v>22</v>
      </c>
      <c r="D14" s="571">
        <v>1</v>
      </c>
      <c r="E14" s="571">
        <v>7</v>
      </c>
      <c r="F14" s="571"/>
    </row>
    <row r="15" spans="1:6" x14ac:dyDescent="0.25">
      <c r="A15" s="986" t="s">
        <v>37</v>
      </c>
      <c r="B15" s="571">
        <v>20</v>
      </c>
      <c r="C15" s="571">
        <v>7</v>
      </c>
      <c r="D15" s="571">
        <v>2</v>
      </c>
      <c r="E15" s="571">
        <v>3</v>
      </c>
      <c r="F15" s="571">
        <v>8</v>
      </c>
    </row>
    <row r="16" spans="1:6" x14ac:dyDescent="0.25">
      <c r="A16" s="986" t="s">
        <v>38</v>
      </c>
      <c r="B16" s="571">
        <v>11</v>
      </c>
      <c r="C16" s="571">
        <v>9</v>
      </c>
      <c r="D16" s="571">
        <v>1</v>
      </c>
      <c r="E16" s="571"/>
      <c r="F16" s="571">
        <v>1</v>
      </c>
    </row>
    <row r="17" spans="1:6" x14ac:dyDescent="0.25">
      <c r="A17" s="986" t="s">
        <v>39</v>
      </c>
      <c r="B17" s="571">
        <v>5</v>
      </c>
      <c r="C17" s="571">
        <v>3</v>
      </c>
      <c r="D17" s="571"/>
      <c r="E17" s="571"/>
      <c r="F17" s="571">
        <v>2</v>
      </c>
    </row>
    <row r="18" spans="1:6" x14ac:dyDescent="0.25">
      <c r="A18" s="986" t="s">
        <v>40</v>
      </c>
      <c r="B18" s="571">
        <v>9</v>
      </c>
      <c r="C18" s="571">
        <v>9</v>
      </c>
      <c r="D18" s="571"/>
      <c r="E18" s="571"/>
      <c r="F18" s="571"/>
    </row>
    <row r="19" spans="1:6" x14ac:dyDescent="0.25">
      <c r="A19" s="986" t="s">
        <v>41</v>
      </c>
      <c r="B19" s="571">
        <v>2</v>
      </c>
      <c r="C19" s="571">
        <v>2</v>
      </c>
      <c r="D19" s="571"/>
      <c r="E19" s="571"/>
      <c r="F19" s="571"/>
    </row>
    <row r="20" spans="1:6" x14ac:dyDescent="0.25">
      <c r="A20" s="986" t="s">
        <v>42</v>
      </c>
      <c r="B20" s="571">
        <v>17</v>
      </c>
      <c r="C20" s="571">
        <v>10</v>
      </c>
      <c r="D20" s="571">
        <v>1</v>
      </c>
      <c r="E20" s="571">
        <v>4</v>
      </c>
      <c r="F20" s="571">
        <v>2</v>
      </c>
    </row>
    <row r="21" spans="1:6" x14ac:dyDescent="0.25">
      <c r="A21" s="986" t="s">
        <v>43</v>
      </c>
      <c r="B21" s="571">
        <v>31</v>
      </c>
      <c r="C21" s="571">
        <v>21</v>
      </c>
      <c r="D21" s="571">
        <v>2</v>
      </c>
      <c r="E21" s="571">
        <v>6</v>
      </c>
      <c r="F21" s="571">
        <v>2</v>
      </c>
    </row>
    <row r="22" spans="1:6" x14ac:dyDescent="0.25">
      <c r="A22" s="986" t="s">
        <v>124</v>
      </c>
      <c r="B22" s="571">
        <v>28</v>
      </c>
      <c r="C22" s="571">
        <v>18</v>
      </c>
      <c r="D22" s="571">
        <v>4</v>
      </c>
      <c r="E22" s="571">
        <v>6</v>
      </c>
      <c r="F22" s="571"/>
    </row>
    <row r="23" spans="1:6" x14ac:dyDescent="0.25">
      <c r="A23" s="986" t="s">
        <v>44</v>
      </c>
      <c r="B23" s="571">
        <v>88</v>
      </c>
      <c r="C23" s="571">
        <v>68</v>
      </c>
      <c r="D23" s="571">
        <v>1</v>
      </c>
      <c r="E23" s="571">
        <v>15</v>
      </c>
      <c r="F23" s="571">
        <v>4</v>
      </c>
    </row>
    <row r="24" spans="1:6" x14ac:dyDescent="0.25">
      <c r="A24" s="986" t="s">
        <v>45</v>
      </c>
      <c r="B24" s="571">
        <v>8</v>
      </c>
      <c r="C24" s="571">
        <v>7</v>
      </c>
      <c r="D24" s="571">
        <v>1</v>
      </c>
      <c r="E24" s="571"/>
      <c r="F24" s="571"/>
    </row>
    <row r="25" spans="1:6" x14ac:dyDescent="0.25">
      <c r="A25" s="986" t="s">
        <v>46</v>
      </c>
      <c r="B25" s="571">
        <v>3</v>
      </c>
      <c r="C25" s="571">
        <v>2</v>
      </c>
      <c r="D25" s="571"/>
      <c r="E25" s="571">
        <v>1</v>
      </c>
      <c r="F25" s="571"/>
    </row>
    <row r="26" spans="1:6" x14ac:dyDescent="0.25">
      <c r="A26" s="986" t="s">
        <v>47</v>
      </c>
      <c r="B26" s="571">
        <v>19</v>
      </c>
      <c r="C26" s="571">
        <v>13</v>
      </c>
      <c r="D26" s="571"/>
      <c r="E26" s="571">
        <v>5</v>
      </c>
      <c r="F26" s="571">
        <v>1</v>
      </c>
    </row>
    <row r="27" spans="1:6" x14ac:dyDescent="0.25">
      <c r="A27" s="986" t="s">
        <v>48</v>
      </c>
      <c r="B27" s="571">
        <v>18</v>
      </c>
      <c r="C27" s="571">
        <v>17</v>
      </c>
      <c r="D27" s="571"/>
      <c r="E27" s="571">
        <v>1</v>
      </c>
      <c r="F27" s="571"/>
    </row>
    <row r="28" spans="1:6" x14ac:dyDescent="0.25">
      <c r="A28" s="986" t="s">
        <v>49</v>
      </c>
      <c r="B28" s="571">
        <v>20</v>
      </c>
      <c r="C28" s="571">
        <v>16</v>
      </c>
      <c r="D28" s="571"/>
      <c r="E28" s="571">
        <v>3</v>
      </c>
      <c r="F28" s="571">
        <v>1</v>
      </c>
    </row>
    <row r="29" spans="1:6" x14ac:dyDescent="0.25">
      <c r="A29" s="986" t="s">
        <v>50</v>
      </c>
      <c r="B29" s="571">
        <v>15</v>
      </c>
      <c r="C29" s="571">
        <v>8</v>
      </c>
      <c r="D29" s="571">
        <v>2</v>
      </c>
      <c r="E29" s="571">
        <v>3</v>
      </c>
      <c r="F29" s="571">
        <v>2</v>
      </c>
    </row>
    <row r="30" spans="1:6" x14ac:dyDescent="0.25">
      <c r="A30" s="986" t="s">
        <v>51</v>
      </c>
      <c r="B30" s="571">
        <v>15</v>
      </c>
      <c r="C30" s="571">
        <v>14</v>
      </c>
      <c r="D30" s="571"/>
      <c r="E30" s="571">
        <v>1</v>
      </c>
      <c r="F30" s="571"/>
    </row>
    <row r="31" spans="1:6" x14ac:dyDescent="0.25">
      <c r="A31" s="986" t="s">
        <v>52</v>
      </c>
      <c r="B31" s="571">
        <v>23</v>
      </c>
      <c r="C31" s="571">
        <v>16</v>
      </c>
      <c r="D31" s="571">
        <v>1</v>
      </c>
      <c r="E31" s="571">
        <v>4</v>
      </c>
      <c r="F31" s="571">
        <v>2</v>
      </c>
    </row>
    <row r="32" spans="1:6" x14ac:dyDescent="0.25">
      <c r="A32" s="986" t="s">
        <v>53</v>
      </c>
      <c r="B32" s="571">
        <v>10</v>
      </c>
      <c r="C32" s="571">
        <v>4</v>
      </c>
      <c r="D32" s="571">
        <v>2</v>
      </c>
      <c r="E32" s="571">
        <v>4</v>
      </c>
      <c r="F32" s="571"/>
    </row>
    <row r="33" spans="1:8" x14ac:dyDescent="0.25">
      <c r="A33" s="986" t="s">
        <v>54</v>
      </c>
      <c r="B33" s="571">
        <v>20</v>
      </c>
      <c r="C33" s="571">
        <v>17</v>
      </c>
      <c r="D33" s="571"/>
      <c r="E33" s="571">
        <v>3</v>
      </c>
      <c r="F33" s="571"/>
    </row>
    <row r="34" spans="1:8" x14ac:dyDescent="0.25">
      <c r="A34" s="986" t="s">
        <v>55</v>
      </c>
      <c r="B34" s="571">
        <v>18</v>
      </c>
      <c r="C34" s="571">
        <v>16</v>
      </c>
      <c r="D34" s="571"/>
      <c r="E34" s="571">
        <v>2</v>
      </c>
      <c r="F34" s="571"/>
    </row>
    <row r="35" spans="1:8" x14ac:dyDescent="0.25">
      <c r="A35" s="986" t="s">
        <v>56</v>
      </c>
      <c r="B35" s="571">
        <v>9</v>
      </c>
      <c r="C35" s="571">
        <v>7</v>
      </c>
      <c r="D35" s="571">
        <v>1</v>
      </c>
      <c r="E35" s="571">
        <v>1</v>
      </c>
      <c r="F35" s="571"/>
    </row>
    <row r="36" spans="1:8" x14ac:dyDescent="0.25">
      <c r="A36" s="986" t="s">
        <v>57</v>
      </c>
      <c r="B36" s="571">
        <v>24</v>
      </c>
      <c r="C36" s="571">
        <v>14</v>
      </c>
      <c r="D36" s="571">
        <v>1</v>
      </c>
      <c r="E36" s="571">
        <v>8</v>
      </c>
      <c r="F36" s="571">
        <v>1</v>
      </c>
    </row>
    <row r="37" spans="1:8" x14ac:dyDescent="0.25">
      <c r="A37" s="986" t="s">
        <v>58</v>
      </c>
      <c r="B37" s="571">
        <v>15</v>
      </c>
      <c r="C37" s="571">
        <v>9</v>
      </c>
      <c r="D37" s="571"/>
      <c r="E37" s="571">
        <v>6</v>
      </c>
      <c r="F37" s="571"/>
    </row>
    <row r="38" spans="1:8" x14ac:dyDescent="0.25">
      <c r="A38" s="986" t="s">
        <v>59</v>
      </c>
      <c r="B38" s="571">
        <v>7</v>
      </c>
      <c r="C38" s="571">
        <v>4</v>
      </c>
      <c r="D38" s="571">
        <v>1</v>
      </c>
      <c r="E38" s="571">
        <v>1</v>
      </c>
      <c r="F38" s="571">
        <v>1</v>
      </c>
    </row>
    <row r="39" spans="1:8" x14ac:dyDescent="0.25">
      <c r="A39" s="986" t="s">
        <v>60</v>
      </c>
      <c r="B39" s="571">
        <v>12</v>
      </c>
      <c r="C39" s="571">
        <v>8</v>
      </c>
      <c r="D39" s="571"/>
      <c r="E39" s="571">
        <v>3</v>
      </c>
      <c r="F39" s="571">
        <v>1</v>
      </c>
    </row>
    <row r="40" spans="1:8" x14ac:dyDescent="0.25">
      <c r="A40" s="986" t="s">
        <v>255</v>
      </c>
      <c r="B40" s="571">
        <v>627</v>
      </c>
      <c r="C40" s="571">
        <v>431</v>
      </c>
      <c r="D40" s="571">
        <v>28</v>
      </c>
      <c r="E40" s="571">
        <v>126</v>
      </c>
      <c r="F40" s="571">
        <v>42</v>
      </c>
    </row>
    <row r="45" spans="1:8" x14ac:dyDescent="0.25">
      <c r="A45" s="569" t="s">
        <v>334</v>
      </c>
      <c r="B45" t="s">
        <v>258</v>
      </c>
    </row>
    <row r="47" spans="1:8" x14ac:dyDescent="0.25">
      <c r="A47" s="569" t="s">
        <v>250</v>
      </c>
      <c r="B47" t="s">
        <v>256</v>
      </c>
      <c r="C47" t="s">
        <v>343</v>
      </c>
      <c r="D47" t="s">
        <v>472</v>
      </c>
      <c r="E47" t="s">
        <v>470</v>
      </c>
      <c r="F47" t="s">
        <v>469</v>
      </c>
      <c r="G47" t="s">
        <v>471</v>
      </c>
      <c r="H47" t="s">
        <v>346</v>
      </c>
    </row>
    <row r="48" spans="1:8" x14ac:dyDescent="0.25">
      <c r="A48" s="986" t="s">
        <v>31</v>
      </c>
      <c r="B48" s="571">
        <v>19</v>
      </c>
      <c r="C48" s="571">
        <v>8</v>
      </c>
      <c r="D48" s="571">
        <v>2</v>
      </c>
      <c r="E48" s="571">
        <v>1</v>
      </c>
      <c r="F48" s="571"/>
      <c r="G48" s="571">
        <v>2</v>
      </c>
      <c r="H48" s="571">
        <v>6</v>
      </c>
    </row>
    <row r="49" spans="1:8" x14ac:dyDescent="0.25">
      <c r="A49" s="986" t="s">
        <v>32</v>
      </c>
      <c r="B49" s="571">
        <v>37</v>
      </c>
      <c r="C49" s="571">
        <v>31</v>
      </c>
      <c r="D49" s="571"/>
      <c r="E49" s="571"/>
      <c r="F49" s="571"/>
      <c r="G49" s="571">
        <v>5</v>
      </c>
      <c r="H49" s="571">
        <v>1</v>
      </c>
    </row>
    <row r="50" spans="1:8" x14ac:dyDescent="0.25">
      <c r="A50" s="986" t="s">
        <v>33</v>
      </c>
      <c r="B50" s="571">
        <v>13</v>
      </c>
      <c r="C50" s="571">
        <v>11</v>
      </c>
      <c r="D50" s="571"/>
      <c r="E50" s="571"/>
      <c r="F50" s="571"/>
      <c r="G50" s="571">
        <v>1</v>
      </c>
      <c r="H50" s="571">
        <v>1</v>
      </c>
    </row>
    <row r="51" spans="1:8" x14ac:dyDescent="0.25">
      <c r="A51" s="986" t="s">
        <v>34</v>
      </c>
      <c r="B51" s="571">
        <v>51</v>
      </c>
      <c r="C51" s="571">
        <v>25</v>
      </c>
      <c r="D51" s="571">
        <v>1</v>
      </c>
      <c r="E51" s="571">
        <v>1</v>
      </c>
      <c r="F51" s="571">
        <v>20</v>
      </c>
      <c r="G51" s="571">
        <v>4</v>
      </c>
      <c r="H51" s="571"/>
    </row>
    <row r="52" spans="1:8" x14ac:dyDescent="0.25">
      <c r="A52" s="986" t="s">
        <v>262</v>
      </c>
      <c r="B52" s="571">
        <v>25</v>
      </c>
      <c r="C52" s="571">
        <v>12</v>
      </c>
      <c r="D52" s="571">
        <v>4</v>
      </c>
      <c r="E52" s="571">
        <v>2</v>
      </c>
      <c r="F52" s="571"/>
      <c r="G52" s="571">
        <v>1</v>
      </c>
      <c r="H52" s="571">
        <v>6</v>
      </c>
    </row>
    <row r="53" spans="1:8" x14ac:dyDescent="0.25">
      <c r="A53" s="986" t="s">
        <v>35</v>
      </c>
      <c r="B53" s="571">
        <v>5</v>
      </c>
      <c r="C53" s="571">
        <v>3</v>
      </c>
      <c r="D53" s="571"/>
      <c r="E53" s="571">
        <v>1</v>
      </c>
      <c r="F53" s="571"/>
      <c r="G53" s="571">
        <v>1</v>
      </c>
      <c r="H53" s="571"/>
    </row>
    <row r="54" spans="1:8" x14ac:dyDescent="0.25">
      <c r="A54" s="986" t="s">
        <v>36</v>
      </c>
      <c r="B54" s="571">
        <v>30</v>
      </c>
      <c r="C54" s="571">
        <v>22</v>
      </c>
      <c r="D54" s="571">
        <v>1</v>
      </c>
      <c r="E54" s="571">
        <v>3</v>
      </c>
      <c r="F54" s="571"/>
      <c r="G54" s="571">
        <v>4</v>
      </c>
      <c r="H54" s="571"/>
    </row>
    <row r="55" spans="1:8" x14ac:dyDescent="0.25">
      <c r="A55" s="986" t="s">
        <v>37</v>
      </c>
      <c r="B55" s="571">
        <v>20</v>
      </c>
      <c r="C55" s="571">
        <v>7</v>
      </c>
      <c r="D55" s="571">
        <v>2</v>
      </c>
      <c r="E55" s="571">
        <v>1</v>
      </c>
      <c r="F55" s="571"/>
      <c r="G55" s="571">
        <v>2</v>
      </c>
      <c r="H55" s="571">
        <v>8</v>
      </c>
    </row>
    <row r="56" spans="1:8" x14ac:dyDescent="0.25">
      <c r="A56" s="986" t="s">
        <v>38</v>
      </c>
      <c r="B56" s="571">
        <v>11</v>
      </c>
      <c r="C56" s="571">
        <v>9</v>
      </c>
      <c r="D56" s="571">
        <v>1</v>
      </c>
      <c r="E56" s="571"/>
      <c r="F56" s="571"/>
      <c r="G56" s="571"/>
      <c r="H56" s="571">
        <v>1</v>
      </c>
    </row>
    <row r="57" spans="1:8" x14ac:dyDescent="0.25">
      <c r="A57" s="986" t="s">
        <v>39</v>
      </c>
      <c r="B57" s="571">
        <v>5</v>
      </c>
      <c r="C57" s="571">
        <v>3</v>
      </c>
      <c r="D57" s="571"/>
      <c r="E57" s="571"/>
      <c r="F57" s="571"/>
      <c r="G57" s="571"/>
      <c r="H57" s="571">
        <v>2</v>
      </c>
    </row>
    <row r="58" spans="1:8" x14ac:dyDescent="0.25">
      <c r="A58" s="986" t="s">
        <v>40</v>
      </c>
      <c r="B58" s="571">
        <v>9</v>
      </c>
      <c r="C58" s="571">
        <v>9</v>
      </c>
      <c r="D58" s="571"/>
      <c r="E58" s="571"/>
      <c r="F58" s="571"/>
      <c r="G58" s="571"/>
      <c r="H58" s="571"/>
    </row>
    <row r="59" spans="1:8" x14ac:dyDescent="0.25">
      <c r="A59" s="986" t="s">
        <v>41</v>
      </c>
      <c r="B59" s="571">
        <v>2</v>
      </c>
      <c r="C59" s="571">
        <v>2</v>
      </c>
      <c r="D59" s="571"/>
      <c r="E59" s="571"/>
      <c r="F59" s="571"/>
      <c r="G59" s="571"/>
      <c r="H59" s="571"/>
    </row>
    <row r="60" spans="1:8" x14ac:dyDescent="0.25">
      <c r="A60" s="986" t="s">
        <v>42</v>
      </c>
      <c r="B60" s="571">
        <v>17</v>
      </c>
      <c r="C60" s="571">
        <v>10</v>
      </c>
      <c r="D60" s="571">
        <v>1</v>
      </c>
      <c r="E60" s="571"/>
      <c r="F60" s="571"/>
      <c r="G60" s="571">
        <v>4</v>
      </c>
      <c r="H60" s="571">
        <v>2</v>
      </c>
    </row>
    <row r="61" spans="1:8" x14ac:dyDescent="0.25">
      <c r="A61" s="986" t="s">
        <v>43</v>
      </c>
      <c r="B61" s="571">
        <v>31</v>
      </c>
      <c r="C61" s="571">
        <v>21</v>
      </c>
      <c r="D61" s="571">
        <v>2</v>
      </c>
      <c r="E61" s="571">
        <v>1</v>
      </c>
      <c r="F61" s="571"/>
      <c r="G61" s="571">
        <v>5</v>
      </c>
      <c r="H61" s="571">
        <v>2</v>
      </c>
    </row>
    <row r="62" spans="1:8" x14ac:dyDescent="0.25">
      <c r="A62" s="986" t="s">
        <v>124</v>
      </c>
      <c r="B62" s="571">
        <v>28</v>
      </c>
      <c r="C62" s="571">
        <v>18</v>
      </c>
      <c r="D62" s="571">
        <v>4</v>
      </c>
      <c r="E62" s="571">
        <v>3</v>
      </c>
      <c r="F62" s="571"/>
      <c r="G62" s="571">
        <v>3</v>
      </c>
      <c r="H62" s="571"/>
    </row>
    <row r="63" spans="1:8" x14ac:dyDescent="0.25">
      <c r="A63" s="986" t="s">
        <v>44</v>
      </c>
      <c r="B63" s="571">
        <v>88</v>
      </c>
      <c r="C63" s="571">
        <v>68</v>
      </c>
      <c r="D63" s="571">
        <v>1</v>
      </c>
      <c r="E63" s="571">
        <v>2</v>
      </c>
      <c r="F63" s="571">
        <v>8</v>
      </c>
      <c r="G63" s="571">
        <v>5</v>
      </c>
      <c r="H63" s="571">
        <v>4</v>
      </c>
    </row>
    <row r="64" spans="1:8" x14ac:dyDescent="0.25">
      <c r="A64" s="986" t="s">
        <v>45</v>
      </c>
      <c r="B64" s="571">
        <v>8</v>
      </c>
      <c r="C64" s="571">
        <v>7</v>
      </c>
      <c r="D64" s="571">
        <v>1</v>
      </c>
      <c r="E64" s="571"/>
      <c r="F64" s="571"/>
      <c r="G64" s="571"/>
      <c r="H64" s="571"/>
    </row>
    <row r="65" spans="1:8" x14ac:dyDescent="0.25">
      <c r="A65" s="986" t="s">
        <v>46</v>
      </c>
      <c r="B65" s="571">
        <v>3</v>
      </c>
      <c r="C65" s="571">
        <v>2</v>
      </c>
      <c r="D65" s="571"/>
      <c r="E65" s="571"/>
      <c r="F65" s="571"/>
      <c r="G65" s="571">
        <v>1</v>
      </c>
      <c r="H65" s="571"/>
    </row>
    <row r="66" spans="1:8" x14ac:dyDescent="0.25">
      <c r="A66" s="986" t="s">
        <v>47</v>
      </c>
      <c r="B66" s="571">
        <v>19</v>
      </c>
      <c r="C66" s="571">
        <v>13</v>
      </c>
      <c r="D66" s="571"/>
      <c r="E66" s="571"/>
      <c r="F66" s="571">
        <v>2</v>
      </c>
      <c r="G66" s="571">
        <v>3</v>
      </c>
      <c r="H66" s="571">
        <v>1</v>
      </c>
    </row>
    <row r="67" spans="1:8" x14ac:dyDescent="0.25">
      <c r="A67" s="986" t="s">
        <v>48</v>
      </c>
      <c r="B67" s="571">
        <v>18</v>
      </c>
      <c r="C67" s="571">
        <v>17</v>
      </c>
      <c r="D67" s="571"/>
      <c r="E67" s="571"/>
      <c r="F67" s="571">
        <v>1</v>
      </c>
      <c r="G67" s="571"/>
      <c r="H67" s="571"/>
    </row>
    <row r="68" spans="1:8" x14ac:dyDescent="0.25">
      <c r="A68" s="986" t="s">
        <v>49</v>
      </c>
      <c r="B68" s="571">
        <v>20</v>
      </c>
      <c r="C68" s="571">
        <v>16</v>
      </c>
      <c r="D68" s="571"/>
      <c r="E68" s="571"/>
      <c r="F68" s="571">
        <v>1</v>
      </c>
      <c r="G68" s="571">
        <v>2</v>
      </c>
      <c r="H68" s="571">
        <v>1</v>
      </c>
    </row>
    <row r="69" spans="1:8" x14ac:dyDescent="0.25">
      <c r="A69" s="986" t="s">
        <v>50</v>
      </c>
      <c r="B69" s="571">
        <v>15</v>
      </c>
      <c r="C69" s="571">
        <v>8</v>
      </c>
      <c r="D69" s="571">
        <v>2</v>
      </c>
      <c r="E69" s="571">
        <v>1</v>
      </c>
      <c r="F69" s="571"/>
      <c r="G69" s="571">
        <v>2</v>
      </c>
      <c r="H69" s="571">
        <v>2</v>
      </c>
    </row>
    <row r="70" spans="1:8" x14ac:dyDescent="0.25">
      <c r="A70" s="986" t="s">
        <v>51</v>
      </c>
      <c r="B70" s="571">
        <v>15</v>
      </c>
      <c r="C70" s="571">
        <v>14</v>
      </c>
      <c r="D70" s="571"/>
      <c r="E70" s="571"/>
      <c r="F70" s="571">
        <v>1</v>
      </c>
      <c r="G70" s="571"/>
      <c r="H70" s="571"/>
    </row>
    <row r="71" spans="1:8" x14ac:dyDescent="0.25">
      <c r="A71" s="986" t="s">
        <v>52</v>
      </c>
      <c r="B71" s="571">
        <v>23</v>
      </c>
      <c r="C71" s="571">
        <v>16</v>
      </c>
      <c r="D71" s="571">
        <v>1</v>
      </c>
      <c r="E71" s="571">
        <v>1</v>
      </c>
      <c r="F71" s="571">
        <v>3</v>
      </c>
      <c r="G71" s="571"/>
      <c r="H71" s="571">
        <v>2</v>
      </c>
    </row>
    <row r="72" spans="1:8" x14ac:dyDescent="0.25">
      <c r="A72" s="986" t="s">
        <v>53</v>
      </c>
      <c r="B72" s="571">
        <v>10</v>
      </c>
      <c r="C72" s="571">
        <v>4</v>
      </c>
      <c r="D72" s="571">
        <v>2</v>
      </c>
      <c r="E72" s="571"/>
      <c r="F72" s="571"/>
      <c r="G72" s="571">
        <v>4</v>
      </c>
      <c r="H72" s="571"/>
    </row>
    <row r="73" spans="1:8" x14ac:dyDescent="0.25">
      <c r="A73" s="986" t="s">
        <v>54</v>
      </c>
      <c r="B73" s="571">
        <v>20</v>
      </c>
      <c r="C73" s="571">
        <v>17</v>
      </c>
      <c r="D73" s="571"/>
      <c r="E73" s="571">
        <v>2</v>
      </c>
      <c r="F73" s="571"/>
      <c r="G73" s="571">
        <v>1</v>
      </c>
      <c r="H73" s="571"/>
    </row>
    <row r="74" spans="1:8" x14ac:dyDescent="0.25">
      <c r="A74" s="986" t="s">
        <v>55</v>
      </c>
      <c r="B74" s="571">
        <v>18</v>
      </c>
      <c r="C74" s="571">
        <v>16</v>
      </c>
      <c r="D74" s="571"/>
      <c r="E74" s="571"/>
      <c r="F74" s="571">
        <v>1</v>
      </c>
      <c r="G74" s="571">
        <v>1</v>
      </c>
      <c r="H74" s="571"/>
    </row>
    <row r="75" spans="1:8" x14ac:dyDescent="0.25">
      <c r="A75" s="986" t="s">
        <v>56</v>
      </c>
      <c r="B75" s="571">
        <v>9</v>
      </c>
      <c r="C75" s="571">
        <v>7</v>
      </c>
      <c r="D75" s="571">
        <v>1</v>
      </c>
      <c r="E75" s="571">
        <v>1</v>
      </c>
      <c r="F75" s="571"/>
      <c r="G75" s="571"/>
      <c r="H75" s="571"/>
    </row>
    <row r="76" spans="1:8" x14ac:dyDescent="0.25">
      <c r="A76" s="986" t="s">
        <v>57</v>
      </c>
      <c r="B76" s="571">
        <v>24</v>
      </c>
      <c r="C76" s="571">
        <v>14</v>
      </c>
      <c r="D76" s="571">
        <v>1</v>
      </c>
      <c r="E76" s="571">
        <v>2</v>
      </c>
      <c r="F76" s="571"/>
      <c r="G76" s="571">
        <v>6</v>
      </c>
      <c r="H76" s="571">
        <v>1</v>
      </c>
    </row>
    <row r="77" spans="1:8" x14ac:dyDescent="0.25">
      <c r="A77" s="986" t="s">
        <v>58</v>
      </c>
      <c r="B77" s="571">
        <v>15</v>
      </c>
      <c r="C77" s="571">
        <v>9</v>
      </c>
      <c r="D77" s="571"/>
      <c r="E77" s="571">
        <v>1</v>
      </c>
      <c r="F77" s="571">
        <v>2</v>
      </c>
      <c r="G77" s="571">
        <v>3</v>
      </c>
      <c r="H77" s="571"/>
    </row>
    <row r="78" spans="1:8" x14ac:dyDescent="0.25">
      <c r="A78" s="986" t="s">
        <v>59</v>
      </c>
      <c r="B78" s="571">
        <v>7</v>
      </c>
      <c r="C78" s="571">
        <v>4</v>
      </c>
      <c r="D78" s="571">
        <v>1</v>
      </c>
      <c r="E78" s="571"/>
      <c r="F78" s="571"/>
      <c r="G78" s="571">
        <v>1</v>
      </c>
      <c r="H78" s="571">
        <v>1</v>
      </c>
    </row>
    <row r="79" spans="1:8" x14ac:dyDescent="0.25">
      <c r="A79" s="986" t="s">
        <v>60</v>
      </c>
      <c r="B79" s="571">
        <v>12</v>
      </c>
      <c r="C79" s="571">
        <v>8</v>
      </c>
      <c r="D79" s="571"/>
      <c r="E79" s="571">
        <v>2</v>
      </c>
      <c r="F79" s="571"/>
      <c r="G79" s="571">
        <v>1</v>
      </c>
      <c r="H79" s="571">
        <v>1</v>
      </c>
    </row>
    <row r="80" spans="1:8" x14ac:dyDescent="0.25">
      <c r="A80" s="986" t="s">
        <v>255</v>
      </c>
      <c r="B80" s="571">
        <v>627</v>
      </c>
      <c r="C80" s="571">
        <v>431</v>
      </c>
      <c r="D80" s="571">
        <v>28</v>
      </c>
      <c r="E80" s="571">
        <v>25</v>
      </c>
      <c r="F80" s="571">
        <v>39</v>
      </c>
      <c r="G80" s="571">
        <v>62</v>
      </c>
      <c r="H80" s="571">
        <v>42</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pageSetUpPr fitToPage="1"/>
  </sheetPr>
  <dimension ref="A4:L16"/>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12" x14ac:dyDescent="0.25">
      <c r="A4" s="980" t="s">
        <v>334</v>
      </c>
      <c r="B4" s="980" t="s">
        <v>1013</v>
      </c>
      <c r="C4" s="980" t="s">
        <v>1014</v>
      </c>
      <c r="D4" s="980" t="s">
        <v>1015</v>
      </c>
      <c r="E4" s="980" t="s">
        <v>1016</v>
      </c>
      <c r="F4" s="980" t="s">
        <v>1017</v>
      </c>
      <c r="G4" s="980" t="s">
        <v>1018</v>
      </c>
      <c r="H4" s="980" t="s">
        <v>1019</v>
      </c>
      <c r="I4" s="980" t="s">
        <v>1020</v>
      </c>
      <c r="J4" s="980" t="s">
        <v>1021</v>
      </c>
      <c r="K4" s="980" t="s">
        <v>1022</v>
      </c>
      <c r="L4" s="980" t="s">
        <v>1023</v>
      </c>
    </row>
    <row r="5" spans="1:12" x14ac:dyDescent="0.25">
      <c r="A5" s="981" t="s">
        <v>207</v>
      </c>
      <c r="B5" s="981" t="s">
        <v>199</v>
      </c>
      <c r="C5" s="981">
        <v>66828</v>
      </c>
      <c r="D5" s="981"/>
      <c r="E5" s="981"/>
      <c r="F5" s="981"/>
      <c r="G5" s="981">
        <v>2400342</v>
      </c>
      <c r="H5" s="981">
        <v>2387809</v>
      </c>
      <c r="I5" s="981">
        <v>2376011</v>
      </c>
      <c r="J5" s="981">
        <v>2.7800000000000002</v>
      </c>
      <c r="K5" s="981"/>
      <c r="L5" s="981"/>
    </row>
    <row r="6" spans="1:12" x14ac:dyDescent="0.25">
      <c r="A6" s="981" t="s">
        <v>206</v>
      </c>
      <c r="B6" s="981" t="s">
        <v>199</v>
      </c>
      <c r="C6" s="981">
        <v>63640</v>
      </c>
      <c r="D6" s="981"/>
      <c r="E6" s="981"/>
      <c r="F6" s="981"/>
      <c r="G6" s="981">
        <v>2416014</v>
      </c>
      <c r="H6" s="981">
        <v>2401005</v>
      </c>
      <c r="I6" s="981">
        <v>2388858</v>
      </c>
      <c r="J6" s="981">
        <v>2.63</v>
      </c>
      <c r="K6" s="981"/>
      <c r="L6" s="981"/>
    </row>
    <row r="7" spans="1:12" x14ac:dyDescent="0.25">
      <c r="A7" s="981" t="s">
        <v>205</v>
      </c>
      <c r="B7" s="981" t="s">
        <v>199</v>
      </c>
      <c r="C7" s="981">
        <v>69038</v>
      </c>
      <c r="D7" s="981">
        <v>176331</v>
      </c>
      <c r="E7" s="981"/>
      <c r="F7" s="981"/>
      <c r="G7" s="981">
        <v>2429943</v>
      </c>
      <c r="H7" s="981">
        <v>2415433</v>
      </c>
      <c r="I7" s="981">
        <v>2401877</v>
      </c>
      <c r="J7" s="981">
        <v>2.84</v>
      </c>
      <c r="K7" s="981">
        <v>7.3</v>
      </c>
      <c r="L7" s="981"/>
    </row>
    <row r="8" spans="1:12" x14ac:dyDescent="0.25">
      <c r="A8" s="981" t="s">
        <v>278</v>
      </c>
      <c r="B8" s="981" t="s">
        <v>199</v>
      </c>
      <c r="C8" s="981">
        <v>68202</v>
      </c>
      <c r="D8" s="981">
        <v>177208</v>
      </c>
      <c r="E8" s="981"/>
      <c r="F8" s="981">
        <v>45412</v>
      </c>
      <c r="G8" s="981">
        <v>2446171</v>
      </c>
      <c r="H8" s="981">
        <v>2430709</v>
      </c>
      <c r="I8" s="981">
        <v>2415826</v>
      </c>
      <c r="J8" s="981">
        <v>2.79</v>
      </c>
      <c r="K8" s="981">
        <v>7.29</v>
      </c>
      <c r="L8" s="981"/>
    </row>
    <row r="9" spans="1:12" x14ac:dyDescent="0.25">
      <c r="A9" s="981" t="s">
        <v>259</v>
      </c>
      <c r="B9" s="981" t="s">
        <v>199</v>
      </c>
      <c r="C9" s="981">
        <v>67131</v>
      </c>
      <c r="D9" s="981">
        <v>180398</v>
      </c>
      <c r="E9" s="981">
        <v>264044</v>
      </c>
      <c r="F9" s="981">
        <v>45808</v>
      </c>
      <c r="G9" s="981">
        <v>2462736</v>
      </c>
      <c r="H9" s="981">
        <v>2446283</v>
      </c>
      <c r="I9" s="981">
        <v>2431041</v>
      </c>
      <c r="J9" s="981">
        <v>2.73</v>
      </c>
      <c r="K9" s="981">
        <v>7.37</v>
      </c>
      <c r="L9" s="981">
        <v>10.79</v>
      </c>
    </row>
    <row r="10" spans="1:12" x14ac:dyDescent="0.25">
      <c r="A10" s="981" t="s">
        <v>258</v>
      </c>
      <c r="B10" s="981" t="s">
        <v>199</v>
      </c>
      <c r="C10" s="981">
        <v>66172</v>
      </c>
      <c r="D10" s="981">
        <v>176569</v>
      </c>
      <c r="E10" s="981">
        <v>267528</v>
      </c>
      <c r="F10" s="981">
        <v>47295</v>
      </c>
      <c r="G10" s="981">
        <v>2477275</v>
      </c>
      <c r="H10" s="981">
        <v>2462061</v>
      </c>
      <c r="I10" s="981">
        <v>2446428</v>
      </c>
      <c r="J10" s="981">
        <v>2.67</v>
      </c>
      <c r="K10" s="981">
        <v>7.17</v>
      </c>
      <c r="L10" s="981">
        <v>10.87</v>
      </c>
    </row>
    <row r="11" spans="1:12" x14ac:dyDescent="0.25">
      <c r="A11" s="981" t="s">
        <v>207</v>
      </c>
      <c r="B11" s="981" t="s">
        <v>1012</v>
      </c>
      <c r="C11" s="981">
        <v>29094</v>
      </c>
      <c r="D11" s="981"/>
      <c r="E11" s="981"/>
      <c r="F11" s="981"/>
      <c r="G11" s="981">
        <v>2400342</v>
      </c>
      <c r="H11" s="981">
        <v>2387809</v>
      </c>
      <c r="I11" s="981">
        <v>2376011</v>
      </c>
      <c r="J11" s="981">
        <v>1.21</v>
      </c>
      <c r="K11" s="981"/>
      <c r="L11" s="981"/>
    </row>
    <row r="12" spans="1:12" x14ac:dyDescent="0.25">
      <c r="A12" s="981" t="s">
        <v>206</v>
      </c>
      <c r="B12" s="981" t="s">
        <v>1012</v>
      </c>
      <c r="C12" s="981">
        <v>26541</v>
      </c>
      <c r="D12" s="981"/>
      <c r="E12" s="981"/>
      <c r="F12" s="981"/>
      <c r="G12" s="981">
        <v>2416014</v>
      </c>
      <c r="H12" s="981">
        <v>2401005</v>
      </c>
      <c r="I12" s="981">
        <v>2388858</v>
      </c>
      <c r="J12" s="981">
        <v>1.1000000000000001</v>
      </c>
      <c r="K12" s="981"/>
      <c r="L12" s="981"/>
    </row>
    <row r="13" spans="1:12" x14ac:dyDescent="0.25">
      <c r="A13" s="981" t="s">
        <v>205</v>
      </c>
      <c r="B13" s="981" t="s">
        <v>1012</v>
      </c>
      <c r="C13" s="981">
        <v>27846</v>
      </c>
      <c r="D13" s="981">
        <v>79298</v>
      </c>
      <c r="E13" s="981"/>
      <c r="F13" s="981"/>
      <c r="G13" s="981">
        <v>2429943</v>
      </c>
      <c r="H13" s="981">
        <v>2415433</v>
      </c>
      <c r="I13" s="981">
        <v>2401877</v>
      </c>
      <c r="J13" s="981">
        <v>1.1499999999999999</v>
      </c>
      <c r="K13" s="981">
        <v>3.2800000000000002</v>
      </c>
      <c r="L13" s="981"/>
    </row>
    <row r="14" spans="1:12" x14ac:dyDescent="0.25">
      <c r="A14" s="981" t="s">
        <v>278</v>
      </c>
      <c r="B14" s="981" t="s">
        <v>1012</v>
      </c>
      <c r="C14" s="981">
        <v>28400</v>
      </c>
      <c r="D14" s="981">
        <v>78665</v>
      </c>
      <c r="E14" s="981"/>
      <c r="F14" s="981"/>
      <c r="G14" s="981">
        <v>2446171</v>
      </c>
      <c r="H14" s="981">
        <v>2430709</v>
      </c>
      <c r="I14" s="981">
        <v>2415826</v>
      </c>
      <c r="J14" s="981">
        <v>1.1599999999999999</v>
      </c>
      <c r="K14" s="981">
        <v>3.24</v>
      </c>
      <c r="L14" s="981"/>
    </row>
    <row r="15" spans="1:12" x14ac:dyDescent="0.25">
      <c r="A15" s="981" t="s">
        <v>259</v>
      </c>
      <c r="B15" s="981" t="s">
        <v>1012</v>
      </c>
      <c r="C15" s="981">
        <v>27184</v>
      </c>
      <c r="D15" s="981">
        <v>79049</v>
      </c>
      <c r="E15" s="981">
        <v>121558</v>
      </c>
      <c r="F15" s="981"/>
      <c r="G15" s="981">
        <v>2462736</v>
      </c>
      <c r="H15" s="981">
        <v>2446283</v>
      </c>
      <c r="I15" s="981">
        <v>2431041</v>
      </c>
      <c r="J15" s="981">
        <v>1.1000000000000001</v>
      </c>
      <c r="K15" s="981">
        <v>3.23</v>
      </c>
      <c r="L15" s="981">
        <v>4.97</v>
      </c>
    </row>
    <row r="16" spans="1:12" x14ac:dyDescent="0.25">
      <c r="A16" s="981" t="s">
        <v>258</v>
      </c>
      <c r="B16" s="981" t="s">
        <v>1012</v>
      </c>
      <c r="C16" s="981">
        <v>23983</v>
      </c>
      <c r="D16" s="981">
        <v>75241</v>
      </c>
      <c r="E16" s="981">
        <v>119649</v>
      </c>
      <c r="F16" s="981"/>
      <c r="G16" s="981">
        <v>2477275</v>
      </c>
      <c r="H16" s="981">
        <v>2462061</v>
      </c>
      <c r="I16" s="981">
        <v>2446428</v>
      </c>
      <c r="J16" s="981">
        <v>0.97</v>
      </c>
      <c r="K16" s="981">
        <v>3.06</v>
      </c>
      <c r="L16" s="981">
        <v>4.8600000000000003</v>
      </c>
    </row>
  </sheetData>
  <pageMargins left="0.7" right="0.7" top="0.75" bottom="0.75" header="0.3" footer="0.3"/>
  <pageSetup paperSize="9" fitToHeight="50"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pageSetUpPr fitToPage="1"/>
  </sheetPr>
  <dimension ref="A1:I40"/>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1" spans="1:8" ht="15.75" x14ac:dyDescent="0.25">
      <c r="A1" s="982" t="s">
        <v>1027</v>
      </c>
    </row>
    <row r="2" spans="1:8" x14ac:dyDescent="0.25">
      <c r="A2" s="1047">
        <v>43700</v>
      </c>
      <c r="B2" s="1048"/>
    </row>
    <row r="4" spans="1:8" x14ac:dyDescent="0.25">
      <c r="A4" s="980" t="s">
        <v>334</v>
      </c>
      <c r="B4" s="980" t="s">
        <v>586</v>
      </c>
      <c r="C4" s="980">
        <v>1</v>
      </c>
      <c r="D4" s="980">
        <v>2</v>
      </c>
      <c r="E4" s="980">
        <v>3</v>
      </c>
      <c r="F4" s="980">
        <v>4</v>
      </c>
      <c r="G4" s="980">
        <v>5</v>
      </c>
      <c r="H4" s="980" t="s">
        <v>26</v>
      </c>
    </row>
    <row r="5" spans="1:8" x14ac:dyDescent="0.25">
      <c r="A5" s="981" t="s">
        <v>206</v>
      </c>
      <c r="B5" s="981" t="s">
        <v>1024</v>
      </c>
      <c r="C5" s="981">
        <v>3.37</v>
      </c>
      <c r="D5" s="981">
        <v>3.18</v>
      </c>
      <c r="E5" s="981">
        <v>2.61</v>
      </c>
      <c r="F5" s="981">
        <v>2.2000000000000002</v>
      </c>
      <c r="G5" s="981">
        <v>1.95</v>
      </c>
      <c r="H5" s="981">
        <v>2.69</v>
      </c>
    </row>
    <row r="6" spans="1:8" x14ac:dyDescent="0.25">
      <c r="A6" s="981" t="s">
        <v>205</v>
      </c>
      <c r="B6" s="981" t="s">
        <v>1024</v>
      </c>
      <c r="C6" s="981">
        <v>3.47</v>
      </c>
      <c r="D6" s="981">
        <v>3.47</v>
      </c>
      <c r="E6" s="981">
        <v>2.92</v>
      </c>
      <c r="F6" s="981">
        <v>2.52</v>
      </c>
      <c r="G6" s="981">
        <v>2.08</v>
      </c>
      <c r="H6" s="981">
        <v>2.92</v>
      </c>
    </row>
    <row r="7" spans="1:8" x14ac:dyDescent="0.25">
      <c r="A7" s="981" t="s">
        <v>278</v>
      </c>
      <c r="B7" s="981" t="s">
        <v>1024</v>
      </c>
      <c r="C7" s="981">
        <v>3.28</v>
      </c>
      <c r="D7" s="981">
        <v>3.31</v>
      </c>
      <c r="E7" s="981">
        <v>2.9</v>
      </c>
      <c r="F7" s="981">
        <v>2.56</v>
      </c>
      <c r="G7" s="981">
        <v>2.15</v>
      </c>
      <c r="H7" s="981">
        <v>2.86</v>
      </c>
    </row>
    <row r="8" spans="1:8" x14ac:dyDescent="0.25">
      <c r="A8" s="981" t="s">
        <v>259</v>
      </c>
      <c r="B8" s="981" t="s">
        <v>1024</v>
      </c>
      <c r="C8" s="981">
        <v>3.43</v>
      </c>
      <c r="D8" s="981">
        <v>3.16</v>
      </c>
      <c r="E8" s="981">
        <v>2.79</v>
      </c>
      <c r="F8" s="981">
        <v>2.46</v>
      </c>
      <c r="G8" s="981">
        <v>2.06</v>
      </c>
      <c r="H8" s="981">
        <v>2.8</v>
      </c>
    </row>
    <row r="9" spans="1:8" x14ac:dyDescent="0.25">
      <c r="A9" s="981" t="s">
        <v>258</v>
      </c>
      <c r="B9" s="981" t="s">
        <v>1024</v>
      </c>
      <c r="C9" s="981">
        <v>3.58</v>
      </c>
      <c r="D9" s="981">
        <v>3.21</v>
      </c>
      <c r="E9" s="981">
        <v>2.68</v>
      </c>
      <c r="F9" s="981">
        <v>2.23</v>
      </c>
      <c r="G9" s="981">
        <v>1.96</v>
      </c>
      <c r="H9" s="981">
        <v>2.76</v>
      </c>
    </row>
    <row r="10" spans="1:8" x14ac:dyDescent="0.25">
      <c r="A10" s="981" t="s">
        <v>206</v>
      </c>
      <c r="B10" s="981" t="s">
        <v>1025</v>
      </c>
      <c r="C10" s="981">
        <v>17636</v>
      </c>
      <c r="D10" s="981">
        <v>15970</v>
      </c>
      <c r="E10" s="981">
        <v>12847</v>
      </c>
      <c r="F10" s="981">
        <v>10341</v>
      </c>
      <c r="G10" s="981">
        <v>8730</v>
      </c>
      <c r="H10" s="981">
        <v>65524</v>
      </c>
    </row>
    <row r="11" spans="1:8" x14ac:dyDescent="0.25">
      <c r="A11" s="981" t="s">
        <v>205</v>
      </c>
      <c r="B11" s="981" t="s">
        <v>1025</v>
      </c>
      <c r="C11" s="981">
        <v>18271</v>
      </c>
      <c r="D11" s="981">
        <v>17495</v>
      </c>
      <c r="E11" s="981">
        <v>14440</v>
      </c>
      <c r="F11" s="981">
        <v>11931</v>
      </c>
      <c r="G11" s="981">
        <v>9399</v>
      </c>
      <c r="H11" s="981">
        <v>71536</v>
      </c>
    </row>
    <row r="12" spans="1:8" x14ac:dyDescent="0.25">
      <c r="A12" s="981" t="s">
        <v>278</v>
      </c>
      <c r="B12" s="981" t="s">
        <v>1025</v>
      </c>
      <c r="C12" s="981">
        <v>17329</v>
      </c>
      <c r="D12" s="981">
        <v>16818</v>
      </c>
      <c r="E12" s="981">
        <v>14438</v>
      </c>
      <c r="F12" s="981">
        <v>12284</v>
      </c>
      <c r="G12" s="981">
        <v>9816</v>
      </c>
      <c r="H12" s="981">
        <v>70685</v>
      </c>
    </row>
    <row r="13" spans="1:8" x14ac:dyDescent="0.25">
      <c r="A13" s="981" t="s">
        <v>259</v>
      </c>
      <c r="B13" s="981" t="s">
        <v>1025</v>
      </c>
      <c r="C13" s="981">
        <v>18229</v>
      </c>
      <c r="D13" s="981">
        <v>16148</v>
      </c>
      <c r="E13" s="981">
        <v>14017</v>
      </c>
      <c r="F13" s="981">
        <v>11942</v>
      </c>
      <c r="G13" s="981">
        <v>9447</v>
      </c>
      <c r="H13" s="981">
        <v>69783</v>
      </c>
    </row>
    <row r="14" spans="1:8" x14ac:dyDescent="0.25">
      <c r="A14" s="981" t="s">
        <v>258</v>
      </c>
      <c r="B14" s="981" t="s">
        <v>1025</v>
      </c>
      <c r="C14" s="981">
        <v>19114</v>
      </c>
      <c r="D14" s="981">
        <v>16437</v>
      </c>
      <c r="E14" s="981">
        <v>13566</v>
      </c>
      <c r="F14" s="981">
        <v>10945</v>
      </c>
      <c r="G14" s="981">
        <v>9080</v>
      </c>
      <c r="H14" s="981">
        <v>69142</v>
      </c>
    </row>
    <row r="30" spans="1:9" x14ac:dyDescent="0.25">
      <c r="A30" s="983" t="s">
        <v>334</v>
      </c>
      <c r="B30" s="983" t="s">
        <v>586</v>
      </c>
      <c r="C30" s="983">
        <v>1</v>
      </c>
      <c r="D30" s="983">
        <v>2</v>
      </c>
      <c r="E30" s="983">
        <v>3</v>
      </c>
      <c r="F30" s="983">
        <v>4</v>
      </c>
      <c r="G30" s="983">
        <v>5</v>
      </c>
      <c r="H30" s="983">
        <v>6</v>
      </c>
      <c r="I30" s="983" t="s">
        <v>26</v>
      </c>
    </row>
    <row r="31" spans="1:9" x14ac:dyDescent="0.25">
      <c r="A31" s="981" t="s">
        <v>206</v>
      </c>
      <c r="B31" s="981" t="s">
        <v>1024</v>
      </c>
      <c r="C31" s="981">
        <v>2.62</v>
      </c>
      <c r="D31" s="981">
        <v>3</v>
      </c>
      <c r="E31" s="981">
        <v>2.52</v>
      </c>
      <c r="F31" s="981">
        <v>2.5299999999999998</v>
      </c>
      <c r="G31" s="981">
        <v>2.19</v>
      </c>
      <c r="H31" s="981">
        <v>2.44</v>
      </c>
      <c r="I31" s="981">
        <v>2.69</v>
      </c>
    </row>
    <row r="32" spans="1:9" x14ac:dyDescent="0.25">
      <c r="A32" s="981" t="s">
        <v>205</v>
      </c>
      <c r="B32" s="981" t="s">
        <v>1024</v>
      </c>
      <c r="C32" s="981">
        <v>2.74</v>
      </c>
      <c r="D32" s="981">
        <v>3.39</v>
      </c>
      <c r="E32" s="981">
        <v>2.66</v>
      </c>
      <c r="F32" s="981">
        <v>2.71</v>
      </c>
      <c r="G32" s="981">
        <v>2.25</v>
      </c>
      <c r="H32" s="981">
        <v>2.73</v>
      </c>
      <c r="I32" s="981">
        <v>2.92</v>
      </c>
    </row>
    <row r="33" spans="1:9" x14ac:dyDescent="0.25">
      <c r="A33" s="981" t="s">
        <v>278</v>
      </c>
      <c r="B33" s="981" t="s">
        <v>1024</v>
      </c>
      <c r="C33" s="981">
        <v>2.5299999999999998</v>
      </c>
      <c r="D33" s="981">
        <v>3.3</v>
      </c>
      <c r="E33" s="981">
        <v>2.61</v>
      </c>
      <c r="F33" s="981">
        <v>3.3</v>
      </c>
      <c r="G33" s="981">
        <v>2.38</v>
      </c>
      <c r="H33" s="981">
        <v>3.1</v>
      </c>
      <c r="I33" s="981">
        <v>2.86</v>
      </c>
    </row>
    <row r="34" spans="1:9" x14ac:dyDescent="0.25">
      <c r="A34" s="981" t="s">
        <v>259</v>
      </c>
      <c r="B34" s="981" t="s">
        <v>1024</v>
      </c>
      <c r="C34" s="981">
        <v>2.63</v>
      </c>
      <c r="D34" s="981">
        <v>3.09</v>
      </c>
      <c r="E34" s="981">
        <v>2.46</v>
      </c>
      <c r="F34" s="981">
        <v>3.38</v>
      </c>
      <c r="G34" s="981">
        <v>2.25</v>
      </c>
      <c r="H34" s="981">
        <v>3.2</v>
      </c>
      <c r="I34" s="981">
        <v>2.8</v>
      </c>
    </row>
    <row r="35" spans="1:9" x14ac:dyDescent="0.25">
      <c r="A35" s="981" t="s">
        <v>258</v>
      </c>
      <c r="B35" s="981" t="s">
        <v>1024</v>
      </c>
      <c r="C35" s="981">
        <v>2.85</v>
      </c>
      <c r="D35" s="981">
        <v>3.01</v>
      </c>
      <c r="E35" s="981">
        <v>2.38</v>
      </c>
      <c r="F35" s="981">
        <v>2.93</v>
      </c>
      <c r="G35" s="981">
        <v>2.0099999999999998</v>
      </c>
      <c r="H35" s="981">
        <v>2.46</v>
      </c>
      <c r="I35" s="981">
        <v>2.76</v>
      </c>
    </row>
    <row r="36" spans="1:9" x14ac:dyDescent="0.25">
      <c r="A36" s="981" t="s">
        <v>206</v>
      </c>
      <c r="B36" s="981" t="s">
        <v>1025</v>
      </c>
      <c r="C36" s="981">
        <v>22785</v>
      </c>
      <c r="D36" s="981">
        <v>26340</v>
      </c>
      <c r="E36" s="981">
        <v>5122</v>
      </c>
      <c r="F36" s="981">
        <v>2284</v>
      </c>
      <c r="G36" s="981">
        <v>5466</v>
      </c>
      <c r="H36" s="981">
        <v>3527</v>
      </c>
      <c r="I36" s="981">
        <v>65524</v>
      </c>
    </row>
    <row r="37" spans="1:9" x14ac:dyDescent="0.25">
      <c r="A37" s="981" t="s">
        <v>205</v>
      </c>
      <c r="B37" s="981" t="s">
        <v>1025</v>
      </c>
      <c r="C37" s="981">
        <v>24002</v>
      </c>
      <c r="D37" s="981">
        <v>29970</v>
      </c>
      <c r="E37" s="981">
        <v>5431</v>
      </c>
      <c r="F37" s="981">
        <v>2462</v>
      </c>
      <c r="G37" s="981">
        <v>5692</v>
      </c>
      <c r="H37" s="981">
        <v>3979</v>
      </c>
      <c r="I37" s="981">
        <v>71536</v>
      </c>
    </row>
    <row r="38" spans="1:9" x14ac:dyDescent="0.25">
      <c r="A38" s="981" t="s">
        <v>278</v>
      </c>
      <c r="B38" s="981" t="s">
        <v>1025</v>
      </c>
      <c r="C38" s="981">
        <v>22366</v>
      </c>
      <c r="D38" s="981">
        <v>29315</v>
      </c>
      <c r="E38" s="981">
        <v>5377</v>
      </c>
      <c r="F38" s="981">
        <v>2998</v>
      </c>
      <c r="G38" s="981">
        <v>6087</v>
      </c>
      <c r="H38" s="981">
        <v>4542</v>
      </c>
      <c r="I38" s="981">
        <v>70685</v>
      </c>
    </row>
    <row r="39" spans="1:9" x14ac:dyDescent="0.25">
      <c r="A39" s="981" t="s">
        <v>259</v>
      </c>
      <c r="B39" s="981" t="s">
        <v>1025</v>
      </c>
      <c r="C39" s="981">
        <v>23388</v>
      </c>
      <c r="D39" s="981">
        <v>27655</v>
      </c>
      <c r="E39" s="981">
        <v>5101</v>
      </c>
      <c r="F39" s="981">
        <v>3088</v>
      </c>
      <c r="G39" s="981">
        <v>5828</v>
      </c>
      <c r="H39" s="981">
        <v>4723</v>
      </c>
      <c r="I39" s="981">
        <v>69783</v>
      </c>
    </row>
    <row r="40" spans="1:9" x14ac:dyDescent="0.25">
      <c r="A40" s="981" t="s">
        <v>258</v>
      </c>
      <c r="B40" s="981" t="s">
        <v>1025</v>
      </c>
      <c r="C40" s="981">
        <v>25599</v>
      </c>
      <c r="D40" s="981">
        <v>26955</v>
      </c>
      <c r="E40" s="981">
        <v>4965</v>
      </c>
      <c r="F40" s="981">
        <v>2685</v>
      </c>
      <c r="G40" s="981">
        <v>5289</v>
      </c>
      <c r="H40" s="981">
        <v>3649</v>
      </c>
      <c r="I40" s="981">
        <v>69142</v>
      </c>
    </row>
  </sheetData>
  <mergeCells count="1">
    <mergeCell ref="A2:B2"/>
  </mergeCells>
  <pageMargins left="0.7" right="0.7" top="0.75" bottom="0.75" header="0.3" footer="0.3"/>
  <pageSetup paperSize="9" fitToHeight="50"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4:B6"/>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2" x14ac:dyDescent="0.25">
      <c r="A4" s="980" t="s">
        <v>334</v>
      </c>
      <c r="B4" s="980" t="s">
        <v>1026</v>
      </c>
    </row>
    <row r="5" spans="1:2" x14ac:dyDescent="0.25">
      <c r="A5" s="981" t="s">
        <v>259</v>
      </c>
      <c r="B5" s="981">
        <v>76</v>
      </c>
    </row>
    <row r="6" spans="1:2" x14ac:dyDescent="0.25">
      <c r="A6" s="981" t="s">
        <v>258</v>
      </c>
      <c r="B6" s="981">
        <v>24</v>
      </c>
    </row>
  </sheetData>
  <pageMargins left="0.7" right="0.7" top="0.75" bottom="0.75" header="0.3" footer="0.3"/>
  <pageSetup paperSize="9" fitToHeight="50"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4:E9"/>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5" x14ac:dyDescent="0.25">
      <c r="A4" s="980" t="s">
        <v>1028</v>
      </c>
      <c r="B4" s="980" t="s">
        <v>1029</v>
      </c>
      <c r="C4" s="980" t="s">
        <v>1030</v>
      </c>
      <c r="D4" s="980" t="s">
        <v>1031</v>
      </c>
      <c r="E4" s="980" t="s">
        <v>1032</v>
      </c>
    </row>
    <row r="5" spans="1:5" x14ac:dyDescent="0.25">
      <c r="A5" s="981" t="s">
        <v>206</v>
      </c>
      <c r="B5" s="981">
        <v>21</v>
      </c>
      <c r="C5" s="981"/>
      <c r="D5" s="981">
        <v>21</v>
      </c>
      <c r="E5" s="981">
        <v>15</v>
      </c>
    </row>
    <row r="6" spans="1:5" x14ac:dyDescent="0.25">
      <c r="A6" s="981" t="s">
        <v>205</v>
      </c>
      <c r="B6" s="981">
        <v>22</v>
      </c>
      <c r="C6" s="981"/>
      <c r="D6" s="981">
        <v>22</v>
      </c>
      <c r="E6" s="981">
        <v>17</v>
      </c>
    </row>
    <row r="7" spans="1:5" x14ac:dyDescent="0.25">
      <c r="A7" s="981" t="s">
        <v>278</v>
      </c>
      <c r="B7" s="981">
        <v>17</v>
      </c>
      <c r="C7" s="981">
        <v>1</v>
      </c>
      <c r="D7" s="981">
        <v>15</v>
      </c>
      <c r="E7" s="981">
        <v>17</v>
      </c>
    </row>
    <row r="8" spans="1:5" x14ac:dyDescent="0.25">
      <c r="A8" s="981" t="s">
        <v>259</v>
      </c>
      <c r="B8" s="981">
        <v>25</v>
      </c>
      <c r="C8" s="981">
        <v>2</v>
      </c>
      <c r="D8" s="981">
        <v>15</v>
      </c>
      <c r="E8" s="981">
        <v>25</v>
      </c>
    </row>
    <row r="9" spans="1:5" x14ac:dyDescent="0.25">
      <c r="A9" s="981" t="s">
        <v>258</v>
      </c>
      <c r="B9" s="981">
        <v>19</v>
      </c>
      <c r="C9" s="981">
        <v>2</v>
      </c>
      <c r="D9" s="981">
        <v>16</v>
      </c>
      <c r="E9" s="981">
        <v>19</v>
      </c>
    </row>
  </sheetData>
  <pageMargins left="0.7" right="0.7" top="0.75" bottom="0.75" header="0.3" footer="0.3"/>
  <pageSetup paperSize="9" fitToHeight="50"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pageSetUpPr fitToPage="1"/>
  </sheetPr>
  <dimension ref="A4:O196"/>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15" x14ac:dyDescent="0.25">
      <c r="A4" s="980" t="s">
        <v>334</v>
      </c>
      <c r="B4" s="980" t="s">
        <v>883</v>
      </c>
      <c r="C4" s="980" t="s">
        <v>1033</v>
      </c>
      <c r="D4" s="980" t="s">
        <v>985</v>
      </c>
      <c r="E4" s="980" t="s">
        <v>986</v>
      </c>
      <c r="F4" s="980" t="s">
        <v>987</v>
      </c>
      <c r="G4" s="980" t="s">
        <v>988</v>
      </c>
      <c r="H4" s="980" t="s">
        <v>989</v>
      </c>
      <c r="I4" s="980" t="s">
        <v>990</v>
      </c>
      <c r="J4" s="980" t="s">
        <v>1034</v>
      </c>
      <c r="K4" s="980" t="s">
        <v>1035</v>
      </c>
      <c r="L4" s="980" t="s">
        <v>1036</v>
      </c>
      <c r="M4" s="980" t="s">
        <v>500</v>
      </c>
      <c r="N4" s="980" t="s">
        <v>1037</v>
      </c>
      <c r="O4" s="980" t="s">
        <v>1038</v>
      </c>
    </row>
    <row r="5" spans="1:15" x14ac:dyDescent="0.25">
      <c r="A5" s="981" t="s">
        <v>207</v>
      </c>
      <c r="B5" s="981" t="s">
        <v>39</v>
      </c>
      <c r="C5" s="981" t="s">
        <v>316</v>
      </c>
      <c r="D5" s="981">
        <v>554</v>
      </c>
      <c r="E5" s="981">
        <v>307</v>
      </c>
      <c r="F5" s="981">
        <v>861</v>
      </c>
      <c r="G5" s="981">
        <v>966</v>
      </c>
      <c r="H5" s="981">
        <v>757</v>
      </c>
      <c r="I5" s="981">
        <v>209</v>
      </c>
      <c r="J5" s="981">
        <v>44864</v>
      </c>
      <c r="K5" s="981">
        <v>1.919</v>
      </c>
      <c r="L5" s="981">
        <v>2.153</v>
      </c>
      <c r="M5" s="981">
        <v>44102</v>
      </c>
      <c r="N5" s="981">
        <v>1.952</v>
      </c>
      <c r="O5" s="981">
        <v>2.19</v>
      </c>
    </row>
    <row r="6" spans="1:15" x14ac:dyDescent="0.25">
      <c r="A6" s="981" t="s">
        <v>207</v>
      </c>
      <c r="B6" s="981" t="s">
        <v>55</v>
      </c>
      <c r="C6" s="981" t="s">
        <v>302</v>
      </c>
      <c r="D6" s="981">
        <v>73</v>
      </c>
      <c r="E6" s="981">
        <v>218</v>
      </c>
      <c r="F6" s="981">
        <v>291</v>
      </c>
      <c r="G6" s="981">
        <v>125</v>
      </c>
      <c r="H6" s="981">
        <v>69</v>
      </c>
      <c r="I6" s="981">
        <v>56</v>
      </c>
      <c r="J6" s="981">
        <v>10852</v>
      </c>
      <c r="K6" s="981">
        <v>2.6819999999999999</v>
      </c>
      <c r="L6" s="981">
        <v>1.1519999999999999</v>
      </c>
      <c r="M6" s="981">
        <v>10135</v>
      </c>
      <c r="N6" s="981">
        <v>2.871</v>
      </c>
      <c r="O6" s="981">
        <v>1.2330000000000001</v>
      </c>
    </row>
    <row r="7" spans="1:15" x14ac:dyDescent="0.25">
      <c r="A7" s="981" t="s">
        <v>206</v>
      </c>
      <c r="B7" s="981" t="s">
        <v>39</v>
      </c>
      <c r="C7" s="981" t="s">
        <v>316</v>
      </c>
      <c r="D7" s="981">
        <v>562</v>
      </c>
      <c r="E7" s="981">
        <v>539</v>
      </c>
      <c r="F7" s="981">
        <v>1101</v>
      </c>
      <c r="G7" s="981">
        <v>948</v>
      </c>
      <c r="H7" s="981">
        <v>734</v>
      </c>
      <c r="I7" s="981">
        <v>214</v>
      </c>
      <c r="J7" s="981">
        <v>45281</v>
      </c>
      <c r="K7" s="981">
        <v>2.431</v>
      </c>
      <c r="L7" s="981">
        <v>2.0939999999999999</v>
      </c>
      <c r="M7" s="981">
        <v>44504</v>
      </c>
      <c r="N7" s="981">
        <v>2.4740000000000002</v>
      </c>
      <c r="O7" s="981">
        <v>2.13</v>
      </c>
    </row>
    <row r="8" spans="1:15" x14ac:dyDescent="0.25">
      <c r="A8" s="981" t="s">
        <v>206</v>
      </c>
      <c r="B8" s="981" t="s">
        <v>50</v>
      </c>
      <c r="C8" s="981" t="s">
        <v>315</v>
      </c>
      <c r="D8" s="981">
        <v>1427</v>
      </c>
      <c r="E8" s="981">
        <v>2067</v>
      </c>
      <c r="F8" s="981">
        <v>3494</v>
      </c>
      <c r="G8" s="981">
        <v>2428</v>
      </c>
      <c r="H8" s="981">
        <v>1929</v>
      </c>
      <c r="I8" s="981">
        <v>499</v>
      </c>
      <c r="J8" s="981">
        <v>151424</v>
      </c>
      <c r="K8" s="981">
        <v>2.3069999999999999</v>
      </c>
      <c r="L8" s="981">
        <v>1.603</v>
      </c>
      <c r="M8" s="981">
        <v>148610</v>
      </c>
      <c r="N8" s="981">
        <v>2.351</v>
      </c>
      <c r="O8" s="981">
        <v>1.6339999999999999</v>
      </c>
    </row>
    <row r="9" spans="1:15" x14ac:dyDescent="0.25">
      <c r="A9" s="981" t="s">
        <v>205</v>
      </c>
      <c r="B9" s="981" t="s">
        <v>31</v>
      </c>
      <c r="C9" s="981" t="s">
        <v>306</v>
      </c>
      <c r="D9" s="981">
        <v>572</v>
      </c>
      <c r="E9" s="981">
        <v>2074</v>
      </c>
      <c r="F9" s="981">
        <v>2646</v>
      </c>
      <c r="G9" s="981">
        <v>819</v>
      </c>
      <c r="H9" s="981">
        <v>538</v>
      </c>
      <c r="I9" s="981">
        <v>281</v>
      </c>
      <c r="J9" s="981">
        <v>114234</v>
      </c>
      <c r="K9" s="981">
        <v>2.3159999999999998</v>
      </c>
      <c r="L9" s="981">
        <v>0.71699999999999997</v>
      </c>
      <c r="M9" s="981">
        <v>105311</v>
      </c>
      <c r="N9" s="981">
        <v>2.5129999999999999</v>
      </c>
      <c r="O9" s="981">
        <v>0.77800000000000002</v>
      </c>
    </row>
    <row r="10" spans="1:15" x14ac:dyDescent="0.25">
      <c r="A10" s="981" t="s">
        <v>205</v>
      </c>
      <c r="B10" s="981" t="s">
        <v>32</v>
      </c>
      <c r="C10" s="981" t="s">
        <v>307</v>
      </c>
      <c r="D10" s="981">
        <v>683</v>
      </c>
      <c r="E10" s="981">
        <v>1249</v>
      </c>
      <c r="F10" s="981">
        <v>1932</v>
      </c>
      <c r="G10" s="981">
        <v>1079</v>
      </c>
      <c r="H10" s="981">
        <v>648</v>
      </c>
      <c r="I10" s="981">
        <v>431</v>
      </c>
      <c r="J10" s="981">
        <v>115223</v>
      </c>
      <c r="K10" s="981">
        <v>1.677</v>
      </c>
      <c r="L10" s="981">
        <v>0.93600000000000005</v>
      </c>
      <c r="M10" s="981">
        <v>109631</v>
      </c>
      <c r="N10" s="981">
        <v>1.762</v>
      </c>
      <c r="O10" s="981">
        <v>0.98399999999999999</v>
      </c>
    </row>
    <row r="11" spans="1:15" x14ac:dyDescent="0.25">
      <c r="A11" s="981" t="s">
        <v>205</v>
      </c>
      <c r="B11" s="981" t="s">
        <v>34</v>
      </c>
      <c r="C11" s="981" t="s">
        <v>308</v>
      </c>
      <c r="D11" s="981">
        <v>667</v>
      </c>
      <c r="E11" s="981">
        <v>980</v>
      </c>
      <c r="F11" s="981">
        <v>1647</v>
      </c>
      <c r="G11" s="981">
        <v>1074</v>
      </c>
      <c r="H11" s="981">
        <v>562</v>
      </c>
      <c r="I11" s="981">
        <v>512</v>
      </c>
      <c r="J11" s="981">
        <v>47712</v>
      </c>
      <c r="K11" s="981">
        <v>3.452</v>
      </c>
      <c r="L11" s="981">
        <v>2.2509999999999999</v>
      </c>
      <c r="M11" s="981">
        <v>40938</v>
      </c>
      <c r="N11" s="981">
        <v>4.0229999999999997</v>
      </c>
      <c r="O11" s="981">
        <v>2.6230000000000002</v>
      </c>
    </row>
    <row r="12" spans="1:15" x14ac:dyDescent="0.25">
      <c r="A12" s="981" t="s">
        <v>205</v>
      </c>
      <c r="B12" s="981" t="s">
        <v>38</v>
      </c>
      <c r="C12" s="981" t="s">
        <v>289</v>
      </c>
      <c r="D12" s="981">
        <v>509</v>
      </c>
      <c r="E12" s="981">
        <v>829</v>
      </c>
      <c r="F12" s="981">
        <v>1338</v>
      </c>
      <c r="G12" s="981">
        <v>863</v>
      </c>
      <c r="H12" s="981">
        <v>543</v>
      </c>
      <c r="I12" s="981">
        <v>320</v>
      </c>
      <c r="J12" s="981">
        <v>57654</v>
      </c>
      <c r="K12" s="981">
        <v>2.3210000000000002</v>
      </c>
      <c r="L12" s="981">
        <v>1.4970000000000001</v>
      </c>
      <c r="M12" s="981">
        <v>54570</v>
      </c>
      <c r="N12" s="981">
        <v>2.452</v>
      </c>
      <c r="O12" s="981">
        <v>1.581</v>
      </c>
    </row>
    <row r="13" spans="1:15" x14ac:dyDescent="0.25">
      <c r="A13" s="981" t="s">
        <v>205</v>
      </c>
      <c r="B13" s="981" t="s">
        <v>56</v>
      </c>
      <c r="C13" s="981" t="s">
        <v>303</v>
      </c>
      <c r="D13" s="981">
        <v>657</v>
      </c>
      <c r="E13" s="981">
        <v>731</v>
      </c>
      <c r="F13" s="981">
        <v>1388</v>
      </c>
      <c r="G13" s="981">
        <v>1068</v>
      </c>
      <c r="H13" s="981">
        <v>688</v>
      </c>
      <c r="I13" s="981">
        <v>380</v>
      </c>
      <c r="J13" s="981">
        <v>54635</v>
      </c>
      <c r="K13" s="981">
        <v>2.54</v>
      </c>
      <c r="L13" s="981">
        <v>1.9550000000000001</v>
      </c>
      <c r="M13" s="981">
        <v>51912</v>
      </c>
      <c r="N13" s="981">
        <v>2.6739999999999999</v>
      </c>
      <c r="O13" s="981">
        <v>2.0569999999999999</v>
      </c>
    </row>
    <row r="14" spans="1:15" x14ac:dyDescent="0.25">
      <c r="A14" s="981" t="s">
        <v>205</v>
      </c>
      <c r="B14" s="981" t="s">
        <v>59</v>
      </c>
      <c r="C14" s="981" t="s">
        <v>311</v>
      </c>
      <c r="D14" s="981">
        <v>470</v>
      </c>
      <c r="E14" s="981">
        <v>934</v>
      </c>
      <c r="F14" s="981">
        <v>1404</v>
      </c>
      <c r="G14" s="981">
        <v>740</v>
      </c>
      <c r="H14" s="981">
        <v>586</v>
      </c>
      <c r="I14" s="981">
        <v>154</v>
      </c>
      <c r="J14" s="981">
        <v>45056</v>
      </c>
      <c r="K14" s="981">
        <v>3.1160000000000001</v>
      </c>
      <c r="L14" s="981">
        <v>1.6419999999999999</v>
      </c>
      <c r="M14" s="981">
        <v>42571</v>
      </c>
      <c r="N14" s="981">
        <v>3.298</v>
      </c>
      <c r="O14" s="981">
        <v>1.738</v>
      </c>
    </row>
    <row r="15" spans="1:15" x14ac:dyDescent="0.25">
      <c r="A15" s="981" t="s">
        <v>278</v>
      </c>
      <c r="B15" s="981" t="s">
        <v>262</v>
      </c>
      <c r="C15" s="981" t="s">
        <v>309</v>
      </c>
      <c r="D15" s="981">
        <v>2671</v>
      </c>
      <c r="E15" s="981">
        <v>2368</v>
      </c>
      <c r="F15" s="981">
        <v>5039</v>
      </c>
      <c r="G15" s="981">
        <v>3710</v>
      </c>
      <c r="H15" s="981">
        <v>2446</v>
      </c>
      <c r="I15" s="981">
        <v>1264</v>
      </c>
      <c r="J15" s="981">
        <v>244131</v>
      </c>
      <c r="K15" s="981">
        <v>2.0640000000000001</v>
      </c>
      <c r="L15" s="981">
        <v>1.52</v>
      </c>
      <c r="M15" s="981">
        <v>231383</v>
      </c>
      <c r="N15" s="981">
        <v>2.1779999999999999</v>
      </c>
      <c r="O15" s="981">
        <v>1.603</v>
      </c>
    </row>
    <row r="16" spans="1:15" x14ac:dyDescent="0.25">
      <c r="A16" s="981" t="s">
        <v>278</v>
      </c>
      <c r="B16" s="981" t="s">
        <v>41</v>
      </c>
      <c r="C16" s="981" t="s">
        <v>291</v>
      </c>
      <c r="D16" s="981">
        <v>644</v>
      </c>
      <c r="E16" s="981">
        <v>916</v>
      </c>
      <c r="F16" s="981">
        <v>1560</v>
      </c>
      <c r="G16" s="981">
        <v>960</v>
      </c>
      <c r="H16" s="981">
        <v>686</v>
      </c>
      <c r="I16" s="981">
        <v>274</v>
      </c>
      <c r="J16" s="981">
        <v>38389</v>
      </c>
      <c r="K16" s="981">
        <v>4.0640000000000001</v>
      </c>
      <c r="L16" s="981">
        <v>2.5009999999999999</v>
      </c>
      <c r="M16" s="981">
        <v>38581</v>
      </c>
      <c r="N16" s="981">
        <v>4.0430000000000001</v>
      </c>
      <c r="O16" s="981">
        <v>2.488</v>
      </c>
    </row>
    <row r="17" spans="1:15" x14ac:dyDescent="0.25">
      <c r="A17" s="981" t="s">
        <v>278</v>
      </c>
      <c r="B17" s="981" t="s">
        <v>51</v>
      </c>
      <c r="C17" s="981" t="s">
        <v>299</v>
      </c>
      <c r="D17" s="981">
        <v>116</v>
      </c>
      <c r="E17" s="981">
        <v>272</v>
      </c>
      <c r="F17" s="981">
        <v>388</v>
      </c>
      <c r="G17" s="981">
        <v>180</v>
      </c>
      <c r="H17" s="981">
        <v>90</v>
      </c>
      <c r="I17" s="981">
        <v>90</v>
      </c>
      <c r="J17" s="981">
        <v>11063</v>
      </c>
      <c r="K17" s="981">
        <v>3.5070000000000001</v>
      </c>
      <c r="L17" s="981">
        <v>1.627</v>
      </c>
      <c r="M17" s="981">
        <v>10256</v>
      </c>
      <c r="N17" s="981">
        <v>3.7829999999999999</v>
      </c>
      <c r="O17" s="981">
        <v>1.7549999999999999</v>
      </c>
    </row>
    <row r="18" spans="1:15" x14ac:dyDescent="0.25">
      <c r="A18" s="981" t="s">
        <v>278</v>
      </c>
      <c r="B18" s="981" t="s">
        <v>57</v>
      </c>
      <c r="C18" s="981" t="s">
        <v>304</v>
      </c>
      <c r="D18" s="981">
        <v>1304</v>
      </c>
      <c r="E18" s="981">
        <v>2091</v>
      </c>
      <c r="F18" s="981">
        <v>3395</v>
      </c>
      <c r="G18" s="981">
        <v>2109</v>
      </c>
      <c r="H18" s="981">
        <v>1516</v>
      </c>
      <c r="I18" s="981">
        <v>593</v>
      </c>
      <c r="J18" s="981">
        <v>148771</v>
      </c>
      <c r="K18" s="981">
        <v>2.282</v>
      </c>
      <c r="L18" s="981">
        <v>1.4179999999999999</v>
      </c>
      <c r="M18" s="981">
        <v>144148</v>
      </c>
      <c r="N18" s="981">
        <v>2.355</v>
      </c>
      <c r="O18" s="981">
        <v>1.4630000000000001</v>
      </c>
    </row>
    <row r="19" spans="1:15" x14ac:dyDescent="0.25">
      <c r="A19" s="981" t="s">
        <v>259</v>
      </c>
      <c r="B19" s="981" t="s">
        <v>40</v>
      </c>
      <c r="C19" s="981" t="s">
        <v>290</v>
      </c>
      <c r="D19" s="981">
        <v>540</v>
      </c>
      <c r="E19" s="981">
        <v>494</v>
      </c>
      <c r="F19" s="981">
        <v>1034</v>
      </c>
      <c r="G19" s="981">
        <v>883</v>
      </c>
      <c r="H19" s="981">
        <v>544</v>
      </c>
      <c r="I19" s="981">
        <v>339</v>
      </c>
      <c r="J19" s="981">
        <v>47407</v>
      </c>
      <c r="K19" s="981">
        <v>2.181</v>
      </c>
      <c r="L19" s="981">
        <v>1.863</v>
      </c>
      <c r="M19" s="981">
        <v>45301</v>
      </c>
      <c r="N19" s="981">
        <v>2.2829999999999999</v>
      </c>
      <c r="O19" s="981">
        <v>1.9490000000000001</v>
      </c>
    </row>
    <row r="20" spans="1:15" x14ac:dyDescent="0.25">
      <c r="A20" s="981" t="s">
        <v>258</v>
      </c>
      <c r="B20" s="981" t="s">
        <v>32</v>
      </c>
      <c r="C20" s="981" t="s">
        <v>307</v>
      </c>
      <c r="D20" s="981">
        <v>564</v>
      </c>
      <c r="E20" s="981">
        <v>1206</v>
      </c>
      <c r="F20" s="981">
        <v>1770</v>
      </c>
      <c r="G20" s="981">
        <v>954</v>
      </c>
      <c r="H20" s="981">
        <v>618</v>
      </c>
      <c r="I20" s="981">
        <v>336</v>
      </c>
      <c r="J20" s="981">
        <v>118197</v>
      </c>
      <c r="K20" s="981">
        <v>1.4970000000000001</v>
      </c>
      <c r="L20" s="981">
        <v>0.80700000000000005</v>
      </c>
      <c r="M20" s="981">
        <v>111156</v>
      </c>
      <c r="N20" s="981">
        <v>1.5920000000000001</v>
      </c>
      <c r="O20" s="981">
        <v>0.85799999999999998</v>
      </c>
    </row>
    <row r="21" spans="1:15" x14ac:dyDescent="0.25">
      <c r="A21" s="981" t="s">
        <v>258</v>
      </c>
      <c r="B21" s="981" t="s">
        <v>33</v>
      </c>
      <c r="C21" s="981" t="s">
        <v>313</v>
      </c>
      <c r="D21" s="981">
        <v>429</v>
      </c>
      <c r="E21" s="981">
        <v>1339</v>
      </c>
      <c r="F21" s="981">
        <v>1768</v>
      </c>
      <c r="G21" s="981">
        <v>627</v>
      </c>
      <c r="H21" s="981">
        <v>450</v>
      </c>
      <c r="I21" s="981">
        <v>177</v>
      </c>
      <c r="J21" s="981">
        <v>56485</v>
      </c>
      <c r="K21" s="981">
        <v>3.13</v>
      </c>
      <c r="L21" s="981">
        <v>1.1100000000000001</v>
      </c>
      <c r="M21" s="981">
        <v>53888</v>
      </c>
      <c r="N21" s="981">
        <v>3.2810000000000001</v>
      </c>
      <c r="O21" s="981">
        <v>1.1639999999999999</v>
      </c>
    </row>
    <row r="22" spans="1:15" x14ac:dyDescent="0.25">
      <c r="A22" s="981" t="s">
        <v>258</v>
      </c>
      <c r="B22" s="981" t="s">
        <v>37</v>
      </c>
      <c r="C22" s="981" t="s">
        <v>314</v>
      </c>
      <c r="D22" s="981">
        <v>692</v>
      </c>
      <c r="E22" s="981">
        <v>2702</v>
      </c>
      <c r="F22" s="981">
        <v>3394</v>
      </c>
      <c r="G22" s="981">
        <v>998</v>
      </c>
      <c r="H22" s="981">
        <v>680</v>
      </c>
      <c r="I22" s="981">
        <v>318</v>
      </c>
      <c r="J22" s="981">
        <v>74531</v>
      </c>
      <c r="K22" s="981">
        <v>4.5540000000000003</v>
      </c>
      <c r="L22" s="981">
        <v>1.339</v>
      </c>
      <c r="M22" s="981">
        <v>70337</v>
      </c>
      <c r="N22" s="981">
        <v>4.8250000000000002</v>
      </c>
      <c r="O22" s="981">
        <v>1.419</v>
      </c>
    </row>
    <row r="23" spans="1:15" x14ac:dyDescent="0.25">
      <c r="A23" s="981" t="s">
        <v>258</v>
      </c>
      <c r="B23" s="981" t="s">
        <v>38</v>
      </c>
      <c r="C23" s="981" t="s">
        <v>289</v>
      </c>
      <c r="D23" s="981">
        <v>421</v>
      </c>
      <c r="E23" s="981">
        <v>656</v>
      </c>
      <c r="F23" s="981">
        <v>1077</v>
      </c>
      <c r="G23" s="981">
        <v>697</v>
      </c>
      <c r="H23" s="981">
        <v>446</v>
      </c>
      <c r="I23" s="981">
        <v>251</v>
      </c>
      <c r="J23" s="981">
        <v>58453</v>
      </c>
      <c r="K23" s="981">
        <v>1.843</v>
      </c>
      <c r="L23" s="981">
        <v>1.1919999999999999</v>
      </c>
      <c r="M23" s="981">
        <v>55107</v>
      </c>
      <c r="N23" s="981">
        <v>1.954</v>
      </c>
      <c r="O23" s="981">
        <v>1.2649999999999999</v>
      </c>
    </row>
    <row r="24" spans="1:15" x14ac:dyDescent="0.25">
      <c r="A24" s="981" t="s">
        <v>258</v>
      </c>
      <c r="B24" s="981" t="s">
        <v>41</v>
      </c>
      <c r="C24" s="981" t="s">
        <v>291</v>
      </c>
      <c r="D24" s="981">
        <v>445</v>
      </c>
      <c r="E24" s="981">
        <v>651</v>
      </c>
      <c r="F24" s="981">
        <v>1096</v>
      </c>
      <c r="G24" s="981">
        <v>686</v>
      </c>
      <c r="H24" s="981">
        <v>492</v>
      </c>
      <c r="I24" s="981">
        <v>194</v>
      </c>
      <c r="J24" s="981">
        <v>38902</v>
      </c>
      <c r="K24" s="981">
        <v>2.8170000000000002</v>
      </c>
      <c r="L24" s="981">
        <v>1.7629999999999999</v>
      </c>
      <c r="M24" s="981">
        <v>39108</v>
      </c>
      <c r="N24" s="981">
        <v>2.802</v>
      </c>
      <c r="O24" s="981">
        <v>1.754</v>
      </c>
    </row>
    <row r="25" spans="1:15" x14ac:dyDescent="0.25">
      <c r="A25" s="981" t="s">
        <v>258</v>
      </c>
      <c r="B25" s="981" t="s">
        <v>51</v>
      </c>
      <c r="C25" s="981" t="s">
        <v>299</v>
      </c>
      <c r="D25" s="981">
        <v>96</v>
      </c>
      <c r="E25" s="981">
        <v>194</v>
      </c>
      <c r="F25" s="981">
        <v>290</v>
      </c>
      <c r="G25" s="981">
        <v>167</v>
      </c>
      <c r="H25" s="981">
        <v>82</v>
      </c>
      <c r="I25" s="981">
        <v>85</v>
      </c>
      <c r="J25" s="981">
        <v>11261</v>
      </c>
      <c r="K25" s="981">
        <v>2.5750000000000002</v>
      </c>
      <c r="L25" s="981">
        <v>1.4830000000000001</v>
      </c>
      <c r="M25" s="981">
        <v>10506</v>
      </c>
      <c r="N25" s="981">
        <v>2.76</v>
      </c>
      <c r="O25" s="981">
        <v>1.59</v>
      </c>
    </row>
    <row r="26" spans="1:15" x14ac:dyDescent="0.25">
      <c r="A26" s="981" t="s">
        <v>207</v>
      </c>
      <c r="B26" s="981" t="s">
        <v>31</v>
      </c>
      <c r="C26" s="981" t="s">
        <v>306</v>
      </c>
      <c r="D26" s="981">
        <v>492</v>
      </c>
      <c r="E26" s="981">
        <v>1898</v>
      </c>
      <c r="F26" s="981">
        <v>2390</v>
      </c>
      <c r="G26" s="981">
        <v>664</v>
      </c>
      <c r="H26" s="981">
        <v>419</v>
      </c>
      <c r="I26" s="981">
        <v>245</v>
      </c>
      <c r="J26" s="981">
        <v>112713</v>
      </c>
      <c r="K26" s="981">
        <v>2.12</v>
      </c>
      <c r="L26" s="981">
        <v>0.58899999999999997</v>
      </c>
      <c r="M26" s="981">
        <v>105047</v>
      </c>
      <c r="N26" s="981">
        <v>2.2749999999999999</v>
      </c>
      <c r="O26" s="981">
        <v>0.63200000000000001</v>
      </c>
    </row>
    <row r="27" spans="1:15" x14ac:dyDescent="0.25">
      <c r="A27" s="981" t="s">
        <v>207</v>
      </c>
      <c r="B27" s="981" t="s">
        <v>38</v>
      </c>
      <c r="C27" s="981" t="s">
        <v>289</v>
      </c>
      <c r="D27" s="981">
        <v>584</v>
      </c>
      <c r="E27" s="981">
        <v>1242</v>
      </c>
      <c r="F27" s="981">
        <v>1826</v>
      </c>
      <c r="G27" s="981">
        <v>967</v>
      </c>
      <c r="H27" s="981">
        <v>664</v>
      </c>
      <c r="I27" s="981">
        <v>303</v>
      </c>
      <c r="J27" s="981">
        <v>57172</v>
      </c>
      <c r="K27" s="981">
        <v>3.194</v>
      </c>
      <c r="L27" s="981">
        <v>1.6910000000000001</v>
      </c>
      <c r="M27" s="981">
        <v>54453</v>
      </c>
      <c r="N27" s="981">
        <v>3.3530000000000002</v>
      </c>
      <c r="O27" s="981">
        <v>1.776</v>
      </c>
    </row>
    <row r="28" spans="1:15" x14ac:dyDescent="0.25">
      <c r="A28" s="981" t="s">
        <v>207</v>
      </c>
      <c r="B28" s="981" t="s">
        <v>41</v>
      </c>
      <c r="C28" s="981" t="s">
        <v>291</v>
      </c>
      <c r="D28" s="981">
        <v>492</v>
      </c>
      <c r="E28" s="981">
        <v>448</v>
      </c>
      <c r="F28" s="981">
        <v>940</v>
      </c>
      <c r="G28" s="981">
        <v>801</v>
      </c>
      <c r="H28" s="981">
        <v>603</v>
      </c>
      <c r="I28" s="981">
        <v>198</v>
      </c>
      <c r="J28" s="981">
        <v>37639</v>
      </c>
      <c r="K28" s="981">
        <v>2.4969999999999999</v>
      </c>
      <c r="L28" s="981">
        <v>2.1280000000000001</v>
      </c>
      <c r="M28" s="981">
        <v>37804</v>
      </c>
      <c r="N28" s="981">
        <v>2.4870000000000001</v>
      </c>
      <c r="O28" s="981">
        <v>2.1190000000000002</v>
      </c>
    </row>
    <row r="29" spans="1:15" x14ac:dyDescent="0.25">
      <c r="A29" s="981" t="s">
        <v>207</v>
      </c>
      <c r="B29" s="981" t="s">
        <v>49</v>
      </c>
      <c r="C29" s="981" t="s">
        <v>298</v>
      </c>
      <c r="D29" s="981">
        <v>958</v>
      </c>
      <c r="E29" s="981">
        <v>660</v>
      </c>
      <c r="F29" s="981">
        <v>1618</v>
      </c>
      <c r="G29" s="981">
        <v>1633</v>
      </c>
      <c r="H29" s="981">
        <v>972</v>
      </c>
      <c r="I29" s="981">
        <v>661</v>
      </c>
      <c r="J29" s="981">
        <v>67082</v>
      </c>
      <c r="K29" s="981">
        <v>2.4119999999999999</v>
      </c>
      <c r="L29" s="981">
        <v>2.4340000000000002</v>
      </c>
      <c r="M29" s="981">
        <v>62613</v>
      </c>
      <c r="N29" s="981">
        <v>2.5840000000000001</v>
      </c>
      <c r="O29" s="981">
        <v>2.6080000000000001</v>
      </c>
    </row>
    <row r="30" spans="1:15" x14ac:dyDescent="0.25">
      <c r="A30" s="981" t="s">
        <v>206</v>
      </c>
      <c r="B30" s="981" t="s">
        <v>35</v>
      </c>
      <c r="C30" s="981" t="s">
        <v>287</v>
      </c>
      <c r="D30" s="981">
        <v>273</v>
      </c>
      <c r="E30" s="981">
        <v>511</v>
      </c>
      <c r="F30" s="981">
        <v>784</v>
      </c>
      <c r="G30" s="981">
        <v>401</v>
      </c>
      <c r="H30" s="981">
        <v>314</v>
      </c>
      <c r="I30" s="981">
        <v>87</v>
      </c>
      <c r="J30" s="981">
        <v>23995</v>
      </c>
      <c r="K30" s="981">
        <v>3.2669999999999999</v>
      </c>
      <c r="L30" s="981">
        <v>1.671</v>
      </c>
      <c r="M30" s="981">
        <v>23217</v>
      </c>
      <c r="N30" s="981">
        <v>3.3769999999999998</v>
      </c>
      <c r="O30" s="981">
        <v>1.7270000000000001</v>
      </c>
    </row>
    <row r="31" spans="1:15" x14ac:dyDescent="0.25">
      <c r="A31" s="981" t="s">
        <v>206</v>
      </c>
      <c r="B31" s="981" t="s">
        <v>41</v>
      </c>
      <c r="C31" s="981" t="s">
        <v>291</v>
      </c>
      <c r="D31" s="981">
        <v>546</v>
      </c>
      <c r="E31" s="981">
        <v>689</v>
      </c>
      <c r="F31" s="981">
        <v>1235</v>
      </c>
      <c r="G31" s="981">
        <v>816</v>
      </c>
      <c r="H31" s="981">
        <v>549</v>
      </c>
      <c r="I31" s="981">
        <v>267</v>
      </c>
      <c r="J31" s="981">
        <v>37852</v>
      </c>
      <c r="K31" s="981">
        <v>3.2629999999999999</v>
      </c>
      <c r="L31" s="981">
        <v>2.1560000000000001</v>
      </c>
      <c r="M31" s="981">
        <v>38048</v>
      </c>
      <c r="N31" s="981">
        <v>3.246</v>
      </c>
      <c r="O31" s="981">
        <v>2.145</v>
      </c>
    </row>
    <row r="32" spans="1:15" x14ac:dyDescent="0.25">
      <c r="A32" s="981" t="s">
        <v>206</v>
      </c>
      <c r="B32" s="981" t="s">
        <v>48</v>
      </c>
      <c r="C32" s="981" t="s">
        <v>292</v>
      </c>
      <c r="D32" s="981">
        <v>93</v>
      </c>
      <c r="E32" s="981">
        <v>199</v>
      </c>
      <c r="F32" s="981">
        <v>292</v>
      </c>
      <c r="G32" s="981">
        <v>146</v>
      </c>
      <c r="H32" s="981">
        <v>116</v>
      </c>
      <c r="I32" s="981">
        <v>30</v>
      </c>
      <c r="J32" s="981">
        <v>14520</v>
      </c>
      <c r="K32" s="981">
        <v>2.0110000000000001</v>
      </c>
      <c r="L32" s="981">
        <v>1.006</v>
      </c>
      <c r="M32" s="981">
        <v>12920</v>
      </c>
      <c r="N32" s="981">
        <v>2.2599999999999998</v>
      </c>
      <c r="O32" s="981">
        <v>1.1299999999999999</v>
      </c>
    </row>
    <row r="33" spans="1:15" x14ac:dyDescent="0.25">
      <c r="A33" s="981" t="s">
        <v>205</v>
      </c>
      <c r="B33" s="981" t="s">
        <v>44</v>
      </c>
      <c r="C33" s="981" t="s">
        <v>294</v>
      </c>
      <c r="D33" s="981">
        <v>1073</v>
      </c>
      <c r="E33" s="981">
        <v>2605</v>
      </c>
      <c r="F33" s="981">
        <v>3678</v>
      </c>
      <c r="G33" s="981">
        <v>1751</v>
      </c>
      <c r="H33" s="981">
        <v>1225</v>
      </c>
      <c r="I33" s="981">
        <v>526</v>
      </c>
      <c r="J33" s="981">
        <v>115538</v>
      </c>
      <c r="K33" s="981">
        <v>3.1829999999999998</v>
      </c>
      <c r="L33" s="981">
        <v>1.516</v>
      </c>
      <c r="M33" s="981">
        <v>106834</v>
      </c>
      <c r="N33" s="981">
        <v>3.4430000000000001</v>
      </c>
      <c r="O33" s="981">
        <v>1.639</v>
      </c>
    </row>
    <row r="34" spans="1:15" x14ac:dyDescent="0.25">
      <c r="A34" s="981" t="s">
        <v>278</v>
      </c>
      <c r="B34" s="981" t="s">
        <v>33</v>
      </c>
      <c r="C34" s="981" t="s">
        <v>313</v>
      </c>
      <c r="D34" s="981">
        <v>499</v>
      </c>
      <c r="E34" s="981">
        <v>1528</v>
      </c>
      <c r="F34" s="981">
        <v>2027</v>
      </c>
      <c r="G34" s="981">
        <v>727</v>
      </c>
      <c r="H34" s="981">
        <v>450</v>
      </c>
      <c r="I34" s="981">
        <v>277</v>
      </c>
      <c r="J34" s="981">
        <v>55872</v>
      </c>
      <c r="K34" s="981">
        <v>3.6280000000000001</v>
      </c>
      <c r="L34" s="981">
        <v>1.3009999999999999</v>
      </c>
      <c r="M34" s="981">
        <v>53333</v>
      </c>
      <c r="N34" s="981">
        <v>3.8010000000000002</v>
      </c>
      <c r="O34" s="981">
        <v>1.363</v>
      </c>
    </row>
    <row r="35" spans="1:15" x14ac:dyDescent="0.25">
      <c r="A35" s="981" t="s">
        <v>278</v>
      </c>
      <c r="B35" s="981" t="s">
        <v>53</v>
      </c>
      <c r="C35" s="981" t="s">
        <v>310</v>
      </c>
      <c r="D35" s="981">
        <v>1030</v>
      </c>
      <c r="E35" s="981">
        <v>1105</v>
      </c>
      <c r="F35" s="981">
        <v>2135</v>
      </c>
      <c r="G35" s="981">
        <v>1579</v>
      </c>
      <c r="H35" s="981">
        <v>905</v>
      </c>
      <c r="I35" s="981">
        <v>674</v>
      </c>
      <c r="J35" s="981">
        <v>85724</v>
      </c>
      <c r="K35" s="981">
        <v>2.4910000000000001</v>
      </c>
      <c r="L35" s="981">
        <v>1.8420000000000001</v>
      </c>
      <c r="M35" s="981">
        <v>84025</v>
      </c>
      <c r="N35" s="981">
        <v>2.5409999999999999</v>
      </c>
      <c r="O35" s="981">
        <v>1.879</v>
      </c>
    </row>
    <row r="36" spans="1:15" x14ac:dyDescent="0.25">
      <c r="A36" s="981" t="s">
        <v>259</v>
      </c>
      <c r="B36" s="981" t="s">
        <v>262</v>
      </c>
      <c r="C36" s="981" t="s">
        <v>309</v>
      </c>
      <c r="D36" s="981">
        <v>2302</v>
      </c>
      <c r="E36" s="981">
        <v>2298</v>
      </c>
      <c r="F36" s="981">
        <v>4600</v>
      </c>
      <c r="G36" s="981">
        <v>3197</v>
      </c>
      <c r="H36" s="981">
        <v>2309</v>
      </c>
      <c r="I36" s="981">
        <v>888</v>
      </c>
      <c r="J36" s="981">
        <v>246818</v>
      </c>
      <c r="K36" s="981">
        <v>1.8640000000000001</v>
      </c>
      <c r="L36" s="981">
        <v>1.2949999999999999</v>
      </c>
      <c r="M36" s="981">
        <v>233369</v>
      </c>
      <c r="N36" s="981">
        <v>1.9710000000000001</v>
      </c>
      <c r="O36" s="981">
        <v>1.37</v>
      </c>
    </row>
    <row r="37" spans="1:15" x14ac:dyDescent="0.25">
      <c r="A37" s="981" t="s">
        <v>259</v>
      </c>
      <c r="B37" s="981" t="s">
        <v>43</v>
      </c>
      <c r="C37" s="981" t="s">
        <v>441</v>
      </c>
      <c r="D37" s="981">
        <v>3137</v>
      </c>
      <c r="E37" s="981">
        <v>3403</v>
      </c>
      <c r="F37" s="981">
        <v>6540</v>
      </c>
      <c r="G37" s="981">
        <v>4947</v>
      </c>
      <c r="H37" s="981">
        <v>3292</v>
      </c>
      <c r="I37" s="981">
        <v>1655</v>
      </c>
      <c r="J37" s="981">
        <v>175915</v>
      </c>
      <c r="K37" s="981">
        <v>3.718</v>
      </c>
      <c r="L37" s="981">
        <v>2.8119999999999998</v>
      </c>
      <c r="M37" s="981">
        <v>166960</v>
      </c>
      <c r="N37" s="981">
        <v>3.9169999999999998</v>
      </c>
      <c r="O37" s="981">
        <v>2.9630000000000001</v>
      </c>
    </row>
    <row r="38" spans="1:15" x14ac:dyDescent="0.25">
      <c r="A38" s="981" t="s">
        <v>259</v>
      </c>
      <c r="B38" s="981" t="s">
        <v>51</v>
      </c>
      <c r="C38" s="981" t="s">
        <v>299</v>
      </c>
      <c r="D38" s="981">
        <v>126</v>
      </c>
      <c r="E38" s="981">
        <v>250</v>
      </c>
      <c r="F38" s="981">
        <v>376</v>
      </c>
      <c r="G38" s="981">
        <v>193</v>
      </c>
      <c r="H38" s="981">
        <v>88</v>
      </c>
      <c r="I38" s="981">
        <v>105</v>
      </c>
      <c r="J38" s="981">
        <v>11192</v>
      </c>
      <c r="K38" s="981">
        <v>3.36</v>
      </c>
      <c r="L38" s="981">
        <v>1.724</v>
      </c>
      <c r="M38" s="981">
        <v>10385</v>
      </c>
      <c r="N38" s="981">
        <v>3.621</v>
      </c>
      <c r="O38" s="981">
        <v>1.8580000000000001</v>
      </c>
    </row>
    <row r="39" spans="1:15" x14ac:dyDescent="0.25">
      <c r="A39" s="981" t="s">
        <v>259</v>
      </c>
      <c r="B39" s="981" t="s">
        <v>53</v>
      </c>
      <c r="C39" s="981" t="s">
        <v>310</v>
      </c>
      <c r="D39" s="981">
        <v>1137</v>
      </c>
      <c r="E39" s="981">
        <v>1411</v>
      </c>
      <c r="F39" s="981">
        <v>2548</v>
      </c>
      <c r="G39" s="981">
        <v>1733</v>
      </c>
      <c r="H39" s="981">
        <v>1077</v>
      </c>
      <c r="I39" s="981">
        <v>656</v>
      </c>
      <c r="J39" s="981">
        <v>86449</v>
      </c>
      <c r="K39" s="981">
        <v>2.9470000000000001</v>
      </c>
      <c r="L39" s="981">
        <v>2.0049999999999999</v>
      </c>
      <c r="M39" s="981">
        <v>84938</v>
      </c>
      <c r="N39" s="981">
        <v>3</v>
      </c>
      <c r="O39" s="981">
        <v>2.04</v>
      </c>
    </row>
    <row r="40" spans="1:15" x14ac:dyDescent="0.25">
      <c r="A40" s="981" t="s">
        <v>258</v>
      </c>
      <c r="B40" s="981" t="s">
        <v>40</v>
      </c>
      <c r="C40" s="981" t="s">
        <v>290</v>
      </c>
      <c r="D40" s="981">
        <v>440</v>
      </c>
      <c r="E40" s="981">
        <v>523</v>
      </c>
      <c r="F40" s="981">
        <v>963</v>
      </c>
      <c r="G40" s="981">
        <v>723</v>
      </c>
      <c r="H40" s="981">
        <v>530</v>
      </c>
      <c r="I40" s="981">
        <v>193</v>
      </c>
      <c r="J40" s="981">
        <v>48055</v>
      </c>
      <c r="K40" s="981">
        <v>2.004</v>
      </c>
      <c r="L40" s="981">
        <v>1.5049999999999999</v>
      </c>
      <c r="M40" s="981">
        <v>45975</v>
      </c>
      <c r="N40" s="981">
        <v>2.0950000000000002</v>
      </c>
      <c r="O40" s="981">
        <v>1.573</v>
      </c>
    </row>
    <row r="41" spans="1:15" x14ac:dyDescent="0.25">
      <c r="A41" s="981" t="s">
        <v>258</v>
      </c>
      <c r="B41" s="981" t="s">
        <v>44</v>
      </c>
      <c r="C41" s="981" t="s">
        <v>294</v>
      </c>
      <c r="D41" s="981">
        <v>812</v>
      </c>
      <c r="E41" s="981">
        <v>2969</v>
      </c>
      <c r="F41" s="981">
        <v>3781</v>
      </c>
      <c r="G41" s="981">
        <v>1353</v>
      </c>
      <c r="H41" s="981">
        <v>816</v>
      </c>
      <c r="I41" s="981">
        <v>537</v>
      </c>
      <c r="J41" s="981">
        <v>118117</v>
      </c>
      <c r="K41" s="981">
        <v>3.2010000000000001</v>
      </c>
      <c r="L41" s="981">
        <v>1.145</v>
      </c>
      <c r="M41" s="981">
        <v>108878</v>
      </c>
      <c r="N41" s="981">
        <v>3.4729999999999999</v>
      </c>
      <c r="O41" s="981">
        <v>1.2430000000000001</v>
      </c>
    </row>
    <row r="42" spans="1:15" x14ac:dyDescent="0.25">
      <c r="A42" s="981" t="s">
        <v>258</v>
      </c>
      <c r="B42" s="981" t="s">
        <v>52</v>
      </c>
      <c r="C42" s="981" t="s">
        <v>300</v>
      </c>
      <c r="D42" s="981">
        <v>385</v>
      </c>
      <c r="E42" s="981">
        <v>1083</v>
      </c>
      <c r="F42" s="981">
        <v>1468</v>
      </c>
      <c r="G42" s="981">
        <v>606</v>
      </c>
      <c r="H42" s="981">
        <v>357</v>
      </c>
      <c r="I42" s="981">
        <v>249</v>
      </c>
      <c r="J42" s="981">
        <v>72441</v>
      </c>
      <c r="K42" s="981">
        <v>2.0259999999999998</v>
      </c>
      <c r="L42" s="981">
        <v>0.83699999999999997</v>
      </c>
      <c r="M42" s="981">
        <v>68196</v>
      </c>
      <c r="N42" s="981">
        <v>2.153</v>
      </c>
      <c r="O42" s="981">
        <v>0.88900000000000001</v>
      </c>
    </row>
    <row r="43" spans="1:15" x14ac:dyDescent="0.25">
      <c r="A43" s="981" t="s">
        <v>207</v>
      </c>
      <c r="B43" s="981" t="s">
        <v>34</v>
      </c>
      <c r="C43" s="981" t="s">
        <v>308</v>
      </c>
      <c r="D43" s="981">
        <v>529</v>
      </c>
      <c r="E43" s="981">
        <v>457</v>
      </c>
      <c r="F43" s="981">
        <v>986</v>
      </c>
      <c r="G43" s="981">
        <v>964</v>
      </c>
      <c r="H43" s="981">
        <v>539</v>
      </c>
      <c r="I43" s="981">
        <v>425</v>
      </c>
      <c r="J43" s="981">
        <v>47336</v>
      </c>
      <c r="K43" s="981">
        <v>2.0830000000000002</v>
      </c>
      <c r="L43" s="981">
        <v>2.0369999999999999</v>
      </c>
      <c r="M43" s="981">
        <v>40934</v>
      </c>
      <c r="N43" s="981">
        <v>2.4089999999999998</v>
      </c>
      <c r="O43" s="981">
        <v>2.355</v>
      </c>
    </row>
    <row r="44" spans="1:15" x14ac:dyDescent="0.25">
      <c r="A44" s="981" t="s">
        <v>207</v>
      </c>
      <c r="B44" s="981" t="s">
        <v>262</v>
      </c>
      <c r="C44" s="981" t="s">
        <v>309</v>
      </c>
      <c r="D44" s="981">
        <v>2962</v>
      </c>
      <c r="E44" s="981">
        <v>2361</v>
      </c>
      <c r="F44" s="981">
        <v>5323</v>
      </c>
      <c r="G44" s="981">
        <v>4061</v>
      </c>
      <c r="H44" s="981">
        <v>2668</v>
      </c>
      <c r="I44" s="981">
        <v>1393</v>
      </c>
      <c r="J44" s="981">
        <v>237524</v>
      </c>
      <c r="K44" s="981">
        <v>2.2410000000000001</v>
      </c>
      <c r="L44" s="981">
        <v>1.71</v>
      </c>
      <c r="M44" s="981">
        <v>227222</v>
      </c>
      <c r="N44" s="981">
        <v>2.343</v>
      </c>
      <c r="O44" s="981">
        <v>1.7869999999999999</v>
      </c>
    </row>
    <row r="45" spans="1:15" x14ac:dyDescent="0.25">
      <c r="A45" s="981" t="s">
        <v>207</v>
      </c>
      <c r="B45" s="981" t="s">
        <v>43</v>
      </c>
      <c r="C45" s="981" t="s">
        <v>441</v>
      </c>
      <c r="D45" s="981">
        <v>3531</v>
      </c>
      <c r="E45" s="981">
        <v>3068</v>
      </c>
      <c r="F45" s="981">
        <v>6599</v>
      </c>
      <c r="G45" s="981">
        <v>5634</v>
      </c>
      <c r="H45" s="981">
        <v>3943</v>
      </c>
      <c r="I45" s="981">
        <v>1691</v>
      </c>
      <c r="J45" s="981">
        <v>171560</v>
      </c>
      <c r="K45" s="981">
        <v>3.8460000000000001</v>
      </c>
      <c r="L45" s="981">
        <v>3.2839999999999998</v>
      </c>
      <c r="M45" s="981">
        <v>162200</v>
      </c>
      <c r="N45" s="981">
        <v>4.0679999999999996</v>
      </c>
      <c r="O45" s="981">
        <v>3.4729999999999999</v>
      </c>
    </row>
    <row r="46" spans="1:15" x14ac:dyDescent="0.25">
      <c r="A46" s="981" t="s">
        <v>207</v>
      </c>
      <c r="B46" s="981" t="s">
        <v>48</v>
      </c>
      <c r="C46" s="981" t="s">
        <v>292</v>
      </c>
      <c r="D46" s="981">
        <v>123</v>
      </c>
      <c r="E46" s="981">
        <v>226</v>
      </c>
      <c r="F46" s="981">
        <v>349</v>
      </c>
      <c r="G46" s="981">
        <v>196</v>
      </c>
      <c r="H46" s="981">
        <v>181</v>
      </c>
      <c r="I46" s="981">
        <v>15</v>
      </c>
      <c r="J46" s="981">
        <v>14490</v>
      </c>
      <c r="K46" s="981">
        <v>2.4089999999999998</v>
      </c>
      <c r="L46" s="981">
        <v>1.353</v>
      </c>
      <c r="M46" s="981">
        <v>12924</v>
      </c>
      <c r="N46" s="981">
        <v>2.7</v>
      </c>
      <c r="O46" s="981">
        <v>1.5169999999999999</v>
      </c>
    </row>
    <row r="47" spans="1:15" x14ac:dyDescent="0.25">
      <c r="A47" s="981" t="s">
        <v>207</v>
      </c>
      <c r="B47" s="981" t="s">
        <v>50</v>
      </c>
      <c r="C47" s="981" t="s">
        <v>315</v>
      </c>
      <c r="D47" s="981">
        <v>1381</v>
      </c>
      <c r="E47" s="981">
        <v>1452</v>
      </c>
      <c r="F47" s="981">
        <v>2833</v>
      </c>
      <c r="G47" s="981">
        <v>2357</v>
      </c>
      <c r="H47" s="981">
        <v>1819</v>
      </c>
      <c r="I47" s="981">
        <v>538</v>
      </c>
      <c r="J47" s="981">
        <v>150541</v>
      </c>
      <c r="K47" s="981">
        <v>1.8819999999999999</v>
      </c>
      <c r="L47" s="981">
        <v>1.5660000000000001</v>
      </c>
      <c r="M47" s="981">
        <v>147554</v>
      </c>
      <c r="N47" s="981">
        <v>1.92</v>
      </c>
      <c r="O47" s="981">
        <v>1.597</v>
      </c>
    </row>
    <row r="48" spans="1:15" x14ac:dyDescent="0.25">
      <c r="A48" s="981" t="s">
        <v>207</v>
      </c>
      <c r="B48" s="981" t="s">
        <v>51</v>
      </c>
      <c r="C48" s="981" t="s">
        <v>299</v>
      </c>
      <c r="D48" s="981">
        <v>115</v>
      </c>
      <c r="E48" s="981">
        <v>150</v>
      </c>
      <c r="F48" s="981">
        <v>265</v>
      </c>
      <c r="G48" s="981">
        <v>247</v>
      </c>
      <c r="H48" s="981">
        <v>183</v>
      </c>
      <c r="I48" s="981">
        <v>64</v>
      </c>
      <c r="J48" s="981">
        <v>10717</v>
      </c>
      <c r="K48" s="981">
        <v>2.4729999999999999</v>
      </c>
      <c r="L48" s="981">
        <v>2.3050000000000002</v>
      </c>
      <c r="M48" s="981">
        <v>9945</v>
      </c>
      <c r="N48" s="981">
        <v>2.665</v>
      </c>
      <c r="O48" s="981">
        <v>2.484</v>
      </c>
    </row>
    <row r="49" spans="1:15" x14ac:dyDescent="0.25">
      <c r="A49" s="981" t="s">
        <v>206</v>
      </c>
      <c r="B49" s="981" t="s">
        <v>51</v>
      </c>
      <c r="C49" s="981" t="s">
        <v>299</v>
      </c>
      <c r="D49" s="981">
        <v>87</v>
      </c>
      <c r="E49" s="981">
        <v>161</v>
      </c>
      <c r="F49" s="981">
        <v>248</v>
      </c>
      <c r="G49" s="981">
        <v>145</v>
      </c>
      <c r="H49" s="981">
        <v>64</v>
      </c>
      <c r="I49" s="981">
        <v>81</v>
      </c>
      <c r="J49" s="981">
        <v>10816</v>
      </c>
      <c r="K49" s="981">
        <v>2.2930000000000001</v>
      </c>
      <c r="L49" s="981">
        <v>1.341</v>
      </c>
      <c r="M49" s="981">
        <v>10042</v>
      </c>
      <c r="N49" s="981">
        <v>2.4700000000000002</v>
      </c>
      <c r="O49" s="981">
        <v>1.444</v>
      </c>
    </row>
    <row r="50" spans="1:15" x14ac:dyDescent="0.25">
      <c r="A50" s="981" t="s">
        <v>205</v>
      </c>
      <c r="B50" s="981" t="s">
        <v>33</v>
      </c>
      <c r="C50" s="981" t="s">
        <v>313</v>
      </c>
      <c r="D50" s="981">
        <v>485</v>
      </c>
      <c r="E50" s="981">
        <v>1685</v>
      </c>
      <c r="F50" s="981">
        <v>2170</v>
      </c>
      <c r="G50" s="981">
        <v>724</v>
      </c>
      <c r="H50" s="981">
        <v>462</v>
      </c>
      <c r="I50" s="981">
        <v>262</v>
      </c>
      <c r="J50" s="981">
        <v>55619</v>
      </c>
      <c r="K50" s="981">
        <v>3.9020000000000001</v>
      </c>
      <c r="L50" s="981">
        <v>1.302</v>
      </c>
      <c r="M50" s="981">
        <v>53142</v>
      </c>
      <c r="N50" s="981">
        <v>4.0830000000000002</v>
      </c>
      <c r="O50" s="981">
        <v>1.3620000000000001</v>
      </c>
    </row>
    <row r="51" spans="1:15" x14ac:dyDescent="0.25">
      <c r="A51" s="981" t="s">
        <v>205</v>
      </c>
      <c r="B51" s="981" t="s">
        <v>36</v>
      </c>
      <c r="C51" s="981" t="s">
        <v>288</v>
      </c>
      <c r="D51" s="981">
        <v>1086</v>
      </c>
      <c r="E51" s="981">
        <v>1068</v>
      </c>
      <c r="F51" s="981">
        <v>2154</v>
      </c>
      <c r="G51" s="981">
        <v>1481</v>
      </c>
      <c r="H51" s="981">
        <v>923</v>
      </c>
      <c r="I51" s="981">
        <v>558</v>
      </c>
      <c r="J51" s="981">
        <v>74190</v>
      </c>
      <c r="K51" s="981">
        <v>2.903</v>
      </c>
      <c r="L51" s="981">
        <v>1.996</v>
      </c>
      <c r="M51" s="981">
        <v>68999</v>
      </c>
      <c r="N51" s="981">
        <v>3.1219999999999999</v>
      </c>
      <c r="O51" s="981">
        <v>2.1459999999999999</v>
      </c>
    </row>
    <row r="52" spans="1:15" x14ac:dyDescent="0.25">
      <c r="A52" s="981" t="s">
        <v>205</v>
      </c>
      <c r="B52" s="981" t="s">
        <v>58</v>
      </c>
      <c r="C52" s="981" t="s">
        <v>305</v>
      </c>
      <c r="D52" s="981">
        <v>358</v>
      </c>
      <c r="E52" s="981">
        <v>653</v>
      </c>
      <c r="F52" s="981">
        <v>1011</v>
      </c>
      <c r="G52" s="981">
        <v>565</v>
      </c>
      <c r="H52" s="981">
        <v>384</v>
      </c>
      <c r="I52" s="981">
        <v>181</v>
      </c>
      <c r="J52" s="981">
        <v>40646</v>
      </c>
      <c r="K52" s="981">
        <v>2.4870000000000001</v>
      </c>
      <c r="L52" s="981">
        <v>1.39</v>
      </c>
      <c r="M52" s="981">
        <v>38665</v>
      </c>
      <c r="N52" s="981">
        <v>2.6150000000000002</v>
      </c>
      <c r="O52" s="981">
        <v>1.4610000000000001</v>
      </c>
    </row>
    <row r="53" spans="1:15" x14ac:dyDescent="0.25">
      <c r="A53" s="981" t="s">
        <v>278</v>
      </c>
      <c r="B53" s="981" t="s">
        <v>37</v>
      </c>
      <c r="C53" s="981" t="s">
        <v>314</v>
      </c>
      <c r="D53" s="981">
        <v>870</v>
      </c>
      <c r="E53" s="981">
        <v>3054</v>
      </c>
      <c r="F53" s="981">
        <v>3924</v>
      </c>
      <c r="G53" s="981">
        <v>1200</v>
      </c>
      <c r="H53" s="981">
        <v>823</v>
      </c>
      <c r="I53" s="981">
        <v>377</v>
      </c>
      <c r="J53" s="981">
        <v>74026</v>
      </c>
      <c r="K53" s="981">
        <v>5.3010000000000002</v>
      </c>
      <c r="L53" s="981">
        <v>1.621</v>
      </c>
      <c r="M53" s="981">
        <v>69635</v>
      </c>
      <c r="N53" s="981">
        <v>5.6349999999999998</v>
      </c>
      <c r="O53" s="981">
        <v>1.7230000000000001</v>
      </c>
    </row>
    <row r="54" spans="1:15" x14ac:dyDescent="0.25">
      <c r="A54" s="981" t="s">
        <v>278</v>
      </c>
      <c r="B54" s="981" t="s">
        <v>38</v>
      </c>
      <c r="C54" s="981" t="s">
        <v>289</v>
      </c>
      <c r="D54" s="981">
        <v>576</v>
      </c>
      <c r="E54" s="981">
        <v>682</v>
      </c>
      <c r="F54" s="981">
        <v>1258</v>
      </c>
      <c r="G54" s="981">
        <v>954</v>
      </c>
      <c r="H54" s="981">
        <v>586</v>
      </c>
      <c r="I54" s="981">
        <v>368</v>
      </c>
      <c r="J54" s="981">
        <v>57873</v>
      </c>
      <c r="K54" s="981">
        <v>2.1739999999999999</v>
      </c>
      <c r="L54" s="981">
        <v>1.6479999999999999</v>
      </c>
      <c r="M54" s="981">
        <v>54748</v>
      </c>
      <c r="N54" s="981">
        <v>2.298</v>
      </c>
      <c r="O54" s="981">
        <v>1.7430000000000001</v>
      </c>
    </row>
    <row r="55" spans="1:15" x14ac:dyDescent="0.25">
      <c r="A55" s="981" t="s">
        <v>278</v>
      </c>
      <c r="B55" s="981" t="s">
        <v>40</v>
      </c>
      <c r="C55" s="981" t="s">
        <v>290</v>
      </c>
      <c r="D55" s="981">
        <v>596</v>
      </c>
      <c r="E55" s="981">
        <v>578</v>
      </c>
      <c r="F55" s="981">
        <v>1174</v>
      </c>
      <c r="G55" s="981">
        <v>972</v>
      </c>
      <c r="H55" s="981">
        <v>608</v>
      </c>
      <c r="I55" s="981">
        <v>364</v>
      </c>
      <c r="J55" s="981">
        <v>46672</v>
      </c>
      <c r="K55" s="981">
        <v>2.5150000000000001</v>
      </c>
      <c r="L55" s="981">
        <v>2.0830000000000002</v>
      </c>
      <c r="M55" s="981">
        <v>44749</v>
      </c>
      <c r="N55" s="981">
        <v>2.6240000000000001</v>
      </c>
      <c r="O55" s="981">
        <v>2.1720000000000002</v>
      </c>
    </row>
    <row r="56" spans="1:15" x14ac:dyDescent="0.25">
      <c r="A56" s="981" t="s">
        <v>278</v>
      </c>
      <c r="B56" s="981" t="s">
        <v>46</v>
      </c>
      <c r="C56" s="981" t="s">
        <v>296</v>
      </c>
      <c r="D56" s="981">
        <v>528</v>
      </c>
      <c r="E56" s="981">
        <v>438</v>
      </c>
      <c r="F56" s="981">
        <v>966</v>
      </c>
      <c r="G56" s="981">
        <v>840</v>
      </c>
      <c r="H56" s="981">
        <v>416</v>
      </c>
      <c r="I56" s="981">
        <v>424</v>
      </c>
      <c r="J56" s="981">
        <v>39297</v>
      </c>
      <c r="K56" s="981">
        <v>2.4580000000000002</v>
      </c>
      <c r="L56" s="981">
        <v>2.1379999999999999</v>
      </c>
      <c r="M56" s="981">
        <v>37766</v>
      </c>
      <c r="N56" s="981">
        <v>2.5579999999999998</v>
      </c>
      <c r="O56" s="981">
        <v>2.2240000000000002</v>
      </c>
    </row>
    <row r="57" spans="1:15" x14ac:dyDescent="0.25">
      <c r="A57" s="981" t="s">
        <v>278</v>
      </c>
      <c r="B57" s="981" t="s">
        <v>49</v>
      </c>
      <c r="C57" s="981" t="s">
        <v>298</v>
      </c>
      <c r="D57" s="981">
        <v>905</v>
      </c>
      <c r="E57" s="981">
        <v>1053</v>
      </c>
      <c r="F57" s="981">
        <v>1958</v>
      </c>
      <c r="G57" s="981">
        <v>1406</v>
      </c>
      <c r="H57" s="981">
        <v>831</v>
      </c>
      <c r="I57" s="981">
        <v>575</v>
      </c>
      <c r="J57" s="981">
        <v>67800</v>
      </c>
      <c r="K57" s="981">
        <v>2.8879999999999999</v>
      </c>
      <c r="L57" s="981">
        <v>2.0739999999999998</v>
      </c>
      <c r="M57" s="981">
        <v>63440</v>
      </c>
      <c r="N57" s="981">
        <v>3.0859999999999999</v>
      </c>
      <c r="O57" s="981">
        <v>2.2160000000000002</v>
      </c>
    </row>
    <row r="58" spans="1:15" x14ac:dyDescent="0.25">
      <c r="A58" s="981" t="s">
        <v>278</v>
      </c>
      <c r="B58" s="981" t="s">
        <v>52</v>
      </c>
      <c r="C58" s="981" t="s">
        <v>300</v>
      </c>
      <c r="D58" s="981">
        <v>466</v>
      </c>
      <c r="E58" s="981">
        <v>1497</v>
      </c>
      <c r="F58" s="981">
        <v>1963</v>
      </c>
      <c r="G58" s="981">
        <v>660</v>
      </c>
      <c r="H58" s="981">
        <v>375</v>
      </c>
      <c r="I58" s="981">
        <v>285</v>
      </c>
      <c r="J58" s="981">
        <v>71347</v>
      </c>
      <c r="K58" s="981">
        <v>2.7509999999999999</v>
      </c>
      <c r="L58" s="981">
        <v>0.92500000000000004</v>
      </c>
      <c r="M58" s="981">
        <v>67101</v>
      </c>
      <c r="N58" s="981">
        <v>2.9249999999999998</v>
      </c>
      <c r="O58" s="981">
        <v>0.98399999999999999</v>
      </c>
    </row>
    <row r="59" spans="1:15" x14ac:dyDescent="0.25">
      <c r="A59" s="981" t="s">
        <v>259</v>
      </c>
      <c r="B59" s="981" t="s">
        <v>38</v>
      </c>
      <c r="C59" s="981" t="s">
        <v>289</v>
      </c>
      <c r="D59" s="981">
        <v>485</v>
      </c>
      <c r="E59" s="981">
        <v>664</v>
      </c>
      <c r="F59" s="981">
        <v>1149</v>
      </c>
      <c r="G59" s="981">
        <v>814</v>
      </c>
      <c r="H59" s="981">
        <v>538</v>
      </c>
      <c r="I59" s="981">
        <v>276</v>
      </c>
      <c r="J59" s="981">
        <v>58158</v>
      </c>
      <c r="K59" s="981">
        <v>1.976</v>
      </c>
      <c r="L59" s="981">
        <v>1.4</v>
      </c>
      <c r="M59" s="981">
        <v>54873</v>
      </c>
      <c r="N59" s="981">
        <v>2.0939999999999999</v>
      </c>
      <c r="O59" s="981">
        <v>1.4830000000000001</v>
      </c>
    </row>
    <row r="60" spans="1:15" x14ac:dyDescent="0.25">
      <c r="A60" s="981" t="s">
        <v>259</v>
      </c>
      <c r="B60" s="981" t="s">
        <v>41</v>
      </c>
      <c r="C60" s="981" t="s">
        <v>291</v>
      </c>
      <c r="D60" s="981">
        <v>604</v>
      </c>
      <c r="E60" s="981">
        <v>662</v>
      </c>
      <c r="F60" s="981">
        <v>1266</v>
      </c>
      <c r="G60" s="981">
        <v>894</v>
      </c>
      <c r="H60" s="981">
        <v>700</v>
      </c>
      <c r="I60" s="981">
        <v>194</v>
      </c>
      <c r="J60" s="981">
        <v>38677</v>
      </c>
      <c r="K60" s="981">
        <v>3.2730000000000001</v>
      </c>
      <c r="L60" s="981">
        <v>2.3109999999999999</v>
      </c>
      <c r="M60" s="981">
        <v>38899</v>
      </c>
      <c r="N60" s="981">
        <v>3.2549999999999999</v>
      </c>
      <c r="O60" s="981">
        <v>2.298</v>
      </c>
    </row>
    <row r="61" spans="1:15" x14ac:dyDescent="0.25">
      <c r="A61" s="981" t="s">
        <v>259</v>
      </c>
      <c r="B61" s="981" t="s">
        <v>46</v>
      </c>
      <c r="C61" s="981" t="s">
        <v>296</v>
      </c>
      <c r="D61" s="981">
        <v>489</v>
      </c>
      <c r="E61" s="981">
        <v>509</v>
      </c>
      <c r="F61" s="981">
        <v>998</v>
      </c>
      <c r="G61" s="981">
        <v>797</v>
      </c>
      <c r="H61" s="981">
        <v>349</v>
      </c>
      <c r="I61" s="981">
        <v>448</v>
      </c>
      <c r="J61" s="981">
        <v>39937</v>
      </c>
      <c r="K61" s="981">
        <v>2.4990000000000001</v>
      </c>
      <c r="L61" s="981">
        <v>1.996</v>
      </c>
      <c r="M61" s="981">
        <v>38557</v>
      </c>
      <c r="N61" s="981">
        <v>2.5880000000000001</v>
      </c>
      <c r="O61" s="981">
        <v>2.0670000000000002</v>
      </c>
    </row>
    <row r="62" spans="1:15" x14ac:dyDescent="0.25">
      <c r="A62" s="981" t="s">
        <v>259</v>
      </c>
      <c r="B62" s="981" t="s">
        <v>47</v>
      </c>
      <c r="C62" s="981" t="s">
        <v>297</v>
      </c>
      <c r="D62" s="981">
        <v>609</v>
      </c>
      <c r="E62" s="981">
        <v>826</v>
      </c>
      <c r="F62" s="981">
        <v>1435</v>
      </c>
      <c r="G62" s="981">
        <v>1076</v>
      </c>
      <c r="H62" s="981">
        <v>554</v>
      </c>
      <c r="I62" s="981">
        <v>522</v>
      </c>
      <c r="J62" s="981">
        <v>44838</v>
      </c>
      <c r="K62" s="981">
        <v>3.2</v>
      </c>
      <c r="L62" s="981">
        <v>2.4</v>
      </c>
      <c r="M62" s="981">
        <v>42269</v>
      </c>
      <c r="N62" s="981">
        <v>3.395</v>
      </c>
      <c r="O62" s="981">
        <v>2.5459999999999998</v>
      </c>
    </row>
    <row r="63" spans="1:15" x14ac:dyDescent="0.25">
      <c r="A63" s="981" t="s">
        <v>259</v>
      </c>
      <c r="B63" s="981" t="s">
        <v>49</v>
      </c>
      <c r="C63" s="981" t="s">
        <v>298</v>
      </c>
      <c r="D63" s="981">
        <v>805</v>
      </c>
      <c r="E63" s="981">
        <v>932</v>
      </c>
      <c r="F63" s="981">
        <v>1737</v>
      </c>
      <c r="G63" s="981">
        <v>1279</v>
      </c>
      <c r="H63" s="981">
        <v>822</v>
      </c>
      <c r="I63" s="981">
        <v>457</v>
      </c>
      <c r="J63" s="981">
        <v>67960</v>
      </c>
      <c r="K63" s="981">
        <v>2.556</v>
      </c>
      <c r="L63" s="981">
        <v>1.8819999999999999</v>
      </c>
      <c r="M63" s="981">
        <v>63756</v>
      </c>
      <c r="N63" s="981">
        <v>2.7240000000000002</v>
      </c>
      <c r="O63" s="981">
        <v>2.0059999999999998</v>
      </c>
    </row>
    <row r="64" spans="1:15" x14ac:dyDescent="0.25">
      <c r="A64" s="981" t="s">
        <v>258</v>
      </c>
      <c r="B64" s="981" t="s">
        <v>59</v>
      </c>
      <c r="C64" s="981" t="s">
        <v>311</v>
      </c>
      <c r="D64" s="981">
        <v>556</v>
      </c>
      <c r="E64" s="981">
        <v>1008</v>
      </c>
      <c r="F64" s="981">
        <v>1564</v>
      </c>
      <c r="G64" s="981">
        <v>827</v>
      </c>
      <c r="H64" s="981">
        <v>642</v>
      </c>
      <c r="I64" s="981">
        <v>185</v>
      </c>
      <c r="J64" s="981">
        <v>45228</v>
      </c>
      <c r="K64" s="981">
        <v>3.4580000000000002</v>
      </c>
      <c r="L64" s="981">
        <v>1.829</v>
      </c>
      <c r="M64" s="981">
        <v>42868</v>
      </c>
      <c r="N64" s="981">
        <v>3.6480000000000001</v>
      </c>
      <c r="O64" s="981">
        <v>1.929</v>
      </c>
    </row>
    <row r="65" spans="1:15" x14ac:dyDescent="0.25">
      <c r="A65" s="981" t="s">
        <v>258</v>
      </c>
      <c r="B65" s="981" t="s">
        <v>60</v>
      </c>
      <c r="C65" s="981" t="s">
        <v>312</v>
      </c>
      <c r="D65" s="981">
        <v>851</v>
      </c>
      <c r="E65" s="981">
        <v>1470</v>
      </c>
      <c r="F65" s="981">
        <v>2321</v>
      </c>
      <c r="G65" s="981">
        <v>1286</v>
      </c>
      <c r="H65" s="981">
        <v>780</v>
      </c>
      <c r="I65" s="981">
        <v>506</v>
      </c>
      <c r="J65" s="981">
        <v>79854</v>
      </c>
      <c r="K65" s="981">
        <v>2.907</v>
      </c>
      <c r="L65" s="981">
        <v>1.61</v>
      </c>
      <c r="M65" s="981">
        <v>77953</v>
      </c>
      <c r="N65" s="981">
        <v>2.9769999999999999</v>
      </c>
      <c r="O65" s="981">
        <v>1.65</v>
      </c>
    </row>
    <row r="66" spans="1:15" x14ac:dyDescent="0.25">
      <c r="A66" s="981" t="s">
        <v>207</v>
      </c>
      <c r="B66" s="981" t="s">
        <v>33</v>
      </c>
      <c r="C66" s="981" t="s">
        <v>313</v>
      </c>
      <c r="D66" s="981">
        <v>829</v>
      </c>
      <c r="E66" s="981">
        <v>2850</v>
      </c>
      <c r="F66" s="981">
        <v>3679</v>
      </c>
      <c r="G66" s="981">
        <v>1227</v>
      </c>
      <c r="H66" s="981">
        <v>723</v>
      </c>
      <c r="I66" s="981">
        <v>504</v>
      </c>
      <c r="J66" s="981">
        <v>54872</v>
      </c>
      <c r="K66" s="981">
        <v>6.7050000000000001</v>
      </c>
      <c r="L66" s="981">
        <v>2.2360000000000002</v>
      </c>
      <c r="M66" s="981">
        <v>52413</v>
      </c>
      <c r="N66" s="981">
        <v>7.0190000000000001</v>
      </c>
      <c r="O66" s="981">
        <v>2.3410000000000002</v>
      </c>
    </row>
    <row r="67" spans="1:15" x14ac:dyDescent="0.25">
      <c r="A67" s="981" t="s">
        <v>207</v>
      </c>
      <c r="B67" s="981" t="s">
        <v>37</v>
      </c>
      <c r="C67" s="981" t="s">
        <v>314</v>
      </c>
      <c r="D67" s="981">
        <v>1038</v>
      </c>
      <c r="E67" s="981">
        <v>6335</v>
      </c>
      <c r="F67" s="981">
        <v>7373</v>
      </c>
      <c r="G67" s="981">
        <v>1432</v>
      </c>
      <c r="H67" s="981">
        <v>936</v>
      </c>
      <c r="I67" s="981">
        <v>496</v>
      </c>
      <c r="J67" s="981">
        <v>73560</v>
      </c>
      <c r="K67" s="981">
        <v>10.023</v>
      </c>
      <c r="L67" s="981">
        <v>1.9470000000000001</v>
      </c>
      <c r="M67" s="981">
        <v>69500</v>
      </c>
      <c r="N67" s="981">
        <v>10.609</v>
      </c>
      <c r="O67" s="981">
        <v>2.06</v>
      </c>
    </row>
    <row r="68" spans="1:15" x14ac:dyDescent="0.25">
      <c r="A68" s="981" t="s">
        <v>207</v>
      </c>
      <c r="B68" s="981" t="s">
        <v>40</v>
      </c>
      <c r="C68" s="981" t="s">
        <v>290</v>
      </c>
      <c r="D68" s="981">
        <v>649</v>
      </c>
      <c r="E68" s="981">
        <v>366</v>
      </c>
      <c r="F68" s="981">
        <v>1015</v>
      </c>
      <c r="G68" s="981">
        <v>1107</v>
      </c>
      <c r="H68" s="981">
        <v>611</v>
      </c>
      <c r="I68" s="981">
        <v>496</v>
      </c>
      <c r="J68" s="981">
        <v>45613</v>
      </c>
      <c r="K68" s="981">
        <v>2.2250000000000001</v>
      </c>
      <c r="L68" s="981">
        <v>2.427</v>
      </c>
      <c r="M68" s="981">
        <v>43682</v>
      </c>
      <c r="N68" s="981">
        <v>2.3239999999999998</v>
      </c>
      <c r="O68" s="981">
        <v>2.5339999999999998</v>
      </c>
    </row>
    <row r="69" spans="1:15" x14ac:dyDescent="0.25">
      <c r="A69" s="981" t="s">
        <v>207</v>
      </c>
      <c r="B69" s="981" t="s">
        <v>42</v>
      </c>
      <c r="C69" s="981" t="s">
        <v>293</v>
      </c>
      <c r="D69" s="981">
        <v>552</v>
      </c>
      <c r="E69" s="981">
        <v>1169</v>
      </c>
      <c r="F69" s="981">
        <v>1721</v>
      </c>
      <c r="G69" s="981">
        <v>800</v>
      </c>
      <c r="H69" s="981">
        <v>614</v>
      </c>
      <c r="I69" s="981">
        <v>186</v>
      </c>
      <c r="J69" s="981">
        <v>72128</v>
      </c>
      <c r="K69" s="981">
        <v>2.3860000000000001</v>
      </c>
      <c r="L69" s="981">
        <v>1.109</v>
      </c>
      <c r="M69" s="981">
        <v>69443</v>
      </c>
      <c r="N69" s="981">
        <v>2.4780000000000002</v>
      </c>
      <c r="O69" s="981">
        <v>1.1519999999999999</v>
      </c>
    </row>
    <row r="70" spans="1:15" x14ac:dyDescent="0.25">
      <c r="A70" s="981" t="s">
        <v>207</v>
      </c>
      <c r="B70" s="981" t="s">
        <v>124</v>
      </c>
      <c r="C70" s="981" t="s">
        <v>317</v>
      </c>
      <c r="D70" s="981">
        <v>2763</v>
      </c>
      <c r="E70" s="981">
        <v>3336</v>
      </c>
      <c r="F70" s="981">
        <v>6099</v>
      </c>
      <c r="G70" s="981">
        <v>4140</v>
      </c>
      <c r="H70" s="981">
        <v>3186</v>
      </c>
      <c r="I70" s="981">
        <v>954</v>
      </c>
      <c r="J70" s="981">
        <v>301633</v>
      </c>
      <c r="K70" s="981">
        <v>2.0219999999999998</v>
      </c>
      <c r="L70" s="981">
        <v>1.373</v>
      </c>
      <c r="M70" s="981">
        <v>285346</v>
      </c>
      <c r="N70" s="981">
        <v>2.137</v>
      </c>
      <c r="O70" s="981">
        <v>1.4510000000000001</v>
      </c>
    </row>
    <row r="71" spans="1:15" x14ac:dyDescent="0.25">
      <c r="A71" s="981" t="s">
        <v>207</v>
      </c>
      <c r="B71" s="981" t="s">
        <v>59</v>
      </c>
      <c r="C71" s="981" t="s">
        <v>311</v>
      </c>
      <c r="D71" s="981">
        <v>436</v>
      </c>
      <c r="E71" s="981">
        <v>496</v>
      </c>
      <c r="F71" s="981">
        <v>932</v>
      </c>
      <c r="G71" s="981">
        <v>668</v>
      </c>
      <c r="H71" s="981">
        <v>473</v>
      </c>
      <c r="I71" s="981">
        <v>195</v>
      </c>
      <c r="J71" s="981">
        <v>44880</v>
      </c>
      <c r="K71" s="981">
        <v>2.077</v>
      </c>
      <c r="L71" s="981">
        <v>1.488</v>
      </c>
      <c r="M71" s="981">
        <v>42097</v>
      </c>
      <c r="N71" s="981">
        <v>2.214</v>
      </c>
      <c r="O71" s="981">
        <v>1.587</v>
      </c>
    </row>
    <row r="72" spans="1:15" x14ac:dyDescent="0.25">
      <c r="A72" s="981" t="s">
        <v>206</v>
      </c>
      <c r="B72" s="981" t="s">
        <v>33</v>
      </c>
      <c r="C72" s="981" t="s">
        <v>313</v>
      </c>
      <c r="D72" s="981">
        <v>486</v>
      </c>
      <c r="E72" s="981">
        <v>1357</v>
      </c>
      <c r="F72" s="981">
        <v>1843</v>
      </c>
      <c r="G72" s="981">
        <v>724</v>
      </c>
      <c r="H72" s="981">
        <v>498</v>
      </c>
      <c r="I72" s="981">
        <v>226</v>
      </c>
      <c r="J72" s="981">
        <v>55267</v>
      </c>
      <c r="K72" s="981">
        <v>3.335</v>
      </c>
      <c r="L72" s="981">
        <v>1.31</v>
      </c>
      <c r="M72" s="981">
        <v>52692</v>
      </c>
      <c r="N72" s="981">
        <v>3.4980000000000002</v>
      </c>
      <c r="O72" s="981">
        <v>1.3740000000000001</v>
      </c>
    </row>
    <row r="73" spans="1:15" x14ac:dyDescent="0.25">
      <c r="A73" s="981" t="s">
        <v>206</v>
      </c>
      <c r="B73" s="981" t="s">
        <v>37</v>
      </c>
      <c r="C73" s="981" t="s">
        <v>314</v>
      </c>
      <c r="D73" s="981">
        <v>698</v>
      </c>
      <c r="E73" s="981">
        <v>3028</v>
      </c>
      <c r="F73" s="981">
        <v>3726</v>
      </c>
      <c r="G73" s="981">
        <v>985</v>
      </c>
      <c r="H73" s="981">
        <v>677</v>
      </c>
      <c r="I73" s="981">
        <v>308</v>
      </c>
      <c r="J73" s="981">
        <v>73575</v>
      </c>
      <c r="K73" s="981">
        <v>5.0640000000000001</v>
      </c>
      <c r="L73" s="981">
        <v>1.339</v>
      </c>
      <c r="M73" s="981">
        <v>69610</v>
      </c>
      <c r="N73" s="981">
        <v>5.3529999999999998</v>
      </c>
      <c r="O73" s="981">
        <v>1.415</v>
      </c>
    </row>
    <row r="74" spans="1:15" x14ac:dyDescent="0.25">
      <c r="A74" s="981" t="s">
        <v>206</v>
      </c>
      <c r="B74" s="981" t="s">
        <v>40</v>
      </c>
      <c r="C74" s="981" t="s">
        <v>290</v>
      </c>
      <c r="D74" s="981">
        <v>737</v>
      </c>
      <c r="E74" s="981">
        <v>511</v>
      </c>
      <c r="F74" s="981">
        <v>1248</v>
      </c>
      <c r="G74" s="981">
        <v>1234</v>
      </c>
      <c r="H74" s="981">
        <v>708</v>
      </c>
      <c r="I74" s="981">
        <v>526</v>
      </c>
      <c r="J74" s="981">
        <v>45968</v>
      </c>
      <c r="K74" s="981">
        <v>2.7149999999999999</v>
      </c>
      <c r="L74" s="981">
        <v>2.6840000000000002</v>
      </c>
      <c r="M74" s="981">
        <v>43981</v>
      </c>
      <c r="N74" s="981">
        <v>2.8380000000000001</v>
      </c>
      <c r="O74" s="981">
        <v>2.806</v>
      </c>
    </row>
    <row r="75" spans="1:15" x14ac:dyDescent="0.25">
      <c r="A75" s="981" t="s">
        <v>206</v>
      </c>
      <c r="B75" s="981" t="s">
        <v>42</v>
      </c>
      <c r="C75" s="981" t="s">
        <v>293</v>
      </c>
      <c r="D75" s="981">
        <v>533</v>
      </c>
      <c r="E75" s="981">
        <v>1084</v>
      </c>
      <c r="F75" s="981">
        <v>1617</v>
      </c>
      <c r="G75" s="981">
        <v>774</v>
      </c>
      <c r="H75" s="981">
        <v>573</v>
      </c>
      <c r="I75" s="981">
        <v>201</v>
      </c>
      <c r="J75" s="981">
        <v>72624</v>
      </c>
      <c r="K75" s="981">
        <v>2.2269999999999999</v>
      </c>
      <c r="L75" s="981">
        <v>1.0660000000000001</v>
      </c>
      <c r="M75" s="981">
        <v>69693</v>
      </c>
      <c r="N75" s="981">
        <v>2.3199999999999998</v>
      </c>
      <c r="O75" s="981">
        <v>1.111</v>
      </c>
    </row>
    <row r="76" spans="1:15" x14ac:dyDescent="0.25">
      <c r="A76" s="981" t="s">
        <v>205</v>
      </c>
      <c r="B76" s="981" t="s">
        <v>39</v>
      </c>
      <c r="C76" s="981" t="s">
        <v>316</v>
      </c>
      <c r="D76" s="981">
        <v>662</v>
      </c>
      <c r="E76" s="981">
        <v>793</v>
      </c>
      <c r="F76" s="981">
        <v>1455</v>
      </c>
      <c r="G76" s="981">
        <v>1092</v>
      </c>
      <c r="H76" s="981">
        <v>844</v>
      </c>
      <c r="I76" s="981">
        <v>248</v>
      </c>
      <c r="J76" s="981">
        <v>45678</v>
      </c>
      <c r="K76" s="981">
        <v>3.1850000000000001</v>
      </c>
      <c r="L76" s="981">
        <v>2.391</v>
      </c>
      <c r="M76" s="981">
        <v>45008</v>
      </c>
      <c r="N76" s="981">
        <v>3.2330000000000001</v>
      </c>
      <c r="O76" s="981">
        <v>2.4260000000000002</v>
      </c>
    </row>
    <row r="77" spans="1:15" x14ac:dyDescent="0.25">
      <c r="A77" s="981" t="s">
        <v>205</v>
      </c>
      <c r="B77" s="981" t="s">
        <v>48</v>
      </c>
      <c r="C77" s="981" t="s">
        <v>292</v>
      </c>
      <c r="D77" s="981">
        <v>114</v>
      </c>
      <c r="E77" s="981">
        <v>205</v>
      </c>
      <c r="F77" s="981">
        <v>319</v>
      </c>
      <c r="G77" s="981">
        <v>185</v>
      </c>
      <c r="H77" s="981">
        <v>144</v>
      </c>
      <c r="I77" s="981">
        <v>41</v>
      </c>
      <c r="J77" s="981">
        <v>14577</v>
      </c>
      <c r="K77" s="981">
        <v>2.1880000000000002</v>
      </c>
      <c r="L77" s="981">
        <v>1.2689999999999999</v>
      </c>
      <c r="M77" s="981">
        <v>12968</v>
      </c>
      <c r="N77" s="981">
        <v>2.46</v>
      </c>
      <c r="O77" s="981">
        <v>1.427</v>
      </c>
    </row>
    <row r="78" spans="1:15" x14ac:dyDescent="0.25">
      <c r="A78" s="981" t="s">
        <v>205</v>
      </c>
      <c r="B78" s="981" t="s">
        <v>60</v>
      </c>
      <c r="C78" s="981" t="s">
        <v>312</v>
      </c>
      <c r="D78" s="981">
        <v>1092</v>
      </c>
      <c r="E78" s="981">
        <v>779</v>
      </c>
      <c r="F78" s="981">
        <v>1871</v>
      </c>
      <c r="G78" s="981">
        <v>1710</v>
      </c>
      <c r="H78" s="981">
        <v>1051</v>
      </c>
      <c r="I78" s="981">
        <v>659</v>
      </c>
      <c r="J78" s="981">
        <v>77834</v>
      </c>
      <c r="K78" s="981">
        <v>2.4039999999999999</v>
      </c>
      <c r="L78" s="981">
        <v>2.1970000000000001</v>
      </c>
      <c r="M78" s="981">
        <v>75782</v>
      </c>
      <c r="N78" s="981">
        <v>2.4689999999999999</v>
      </c>
      <c r="O78" s="981">
        <v>2.2559999999999998</v>
      </c>
    </row>
    <row r="79" spans="1:15" x14ac:dyDescent="0.25">
      <c r="A79" s="981" t="s">
        <v>278</v>
      </c>
      <c r="B79" s="981" t="s">
        <v>45</v>
      </c>
      <c r="C79" s="981" t="s">
        <v>295</v>
      </c>
      <c r="D79" s="981">
        <v>797</v>
      </c>
      <c r="E79" s="981">
        <v>1003</v>
      </c>
      <c r="F79" s="981">
        <v>1800</v>
      </c>
      <c r="G79" s="981">
        <v>1188</v>
      </c>
      <c r="H79" s="981">
        <v>621</v>
      </c>
      <c r="I79" s="981">
        <v>567</v>
      </c>
      <c r="J79" s="981">
        <v>38835</v>
      </c>
      <c r="K79" s="981">
        <v>4.6349999999999998</v>
      </c>
      <c r="L79" s="981">
        <v>3.0590000000000002</v>
      </c>
      <c r="M79" s="981">
        <v>37586</v>
      </c>
      <c r="N79" s="981">
        <v>4.7889999999999997</v>
      </c>
      <c r="O79" s="981">
        <v>3.161</v>
      </c>
    </row>
    <row r="80" spans="1:15" x14ac:dyDescent="0.25">
      <c r="A80" s="981" t="s">
        <v>278</v>
      </c>
      <c r="B80" s="981" t="s">
        <v>50</v>
      </c>
      <c r="C80" s="981" t="s">
        <v>315</v>
      </c>
      <c r="D80" s="981">
        <v>1400</v>
      </c>
      <c r="E80" s="981">
        <v>2084</v>
      </c>
      <c r="F80" s="981">
        <v>3484</v>
      </c>
      <c r="G80" s="981">
        <v>2270</v>
      </c>
      <c r="H80" s="981">
        <v>1722</v>
      </c>
      <c r="I80" s="981">
        <v>548</v>
      </c>
      <c r="J80" s="981">
        <v>153388</v>
      </c>
      <c r="K80" s="981">
        <v>2.2709999999999999</v>
      </c>
      <c r="L80" s="981">
        <v>1.48</v>
      </c>
      <c r="M80" s="981">
        <v>150364</v>
      </c>
      <c r="N80" s="981">
        <v>2.3170000000000002</v>
      </c>
      <c r="O80" s="981">
        <v>1.51</v>
      </c>
    </row>
    <row r="81" spans="1:15" x14ac:dyDescent="0.25">
      <c r="A81" s="981" t="s">
        <v>278</v>
      </c>
      <c r="B81" s="981" t="s">
        <v>54</v>
      </c>
      <c r="C81" s="981" t="s">
        <v>301</v>
      </c>
      <c r="D81" s="981">
        <v>1359</v>
      </c>
      <c r="E81" s="981">
        <v>1478</v>
      </c>
      <c r="F81" s="981">
        <v>2837</v>
      </c>
      <c r="G81" s="981">
        <v>2120</v>
      </c>
      <c r="H81" s="981">
        <v>832</v>
      </c>
      <c r="I81" s="981">
        <v>1288</v>
      </c>
      <c r="J81" s="981">
        <v>57940</v>
      </c>
      <c r="K81" s="981">
        <v>4.8959999999999999</v>
      </c>
      <c r="L81" s="981">
        <v>3.6589999999999998</v>
      </c>
      <c r="M81" s="981">
        <v>53787</v>
      </c>
      <c r="N81" s="981">
        <v>5.2750000000000004</v>
      </c>
      <c r="O81" s="981">
        <v>3.9409999999999998</v>
      </c>
    </row>
    <row r="82" spans="1:15" x14ac:dyDescent="0.25">
      <c r="A82" s="981" t="s">
        <v>259</v>
      </c>
      <c r="B82" s="981" t="s">
        <v>36</v>
      </c>
      <c r="C82" s="981" t="s">
        <v>288</v>
      </c>
      <c r="D82" s="981">
        <v>1115</v>
      </c>
      <c r="E82" s="981">
        <v>836</v>
      </c>
      <c r="F82" s="981">
        <v>1951</v>
      </c>
      <c r="G82" s="981">
        <v>1617</v>
      </c>
      <c r="H82" s="981">
        <v>1083</v>
      </c>
      <c r="I82" s="981">
        <v>534</v>
      </c>
      <c r="J82" s="981">
        <v>74687</v>
      </c>
      <c r="K82" s="981">
        <v>2.6120000000000001</v>
      </c>
      <c r="L82" s="981">
        <v>2.165</v>
      </c>
      <c r="M82" s="981">
        <v>69503</v>
      </c>
      <c r="N82" s="981">
        <v>2.8069999999999999</v>
      </c>
      <c r="O82" s="981">
        <v>2.327</v>
      </c>
    </row>
    <row r="83" spans="1:15" x14ac:dyDescent="0.25">
      <c r="A83" s="981" t="s">
        <v>259</v>
      </c>
      <c r="B83" s="981" t="s">
        <v>45</v>
      </c>
      <c r="C83" s="981" t="s">
        <v>295</v>
      </c>
      <c r="D83" s="981">
        <v>712</v>
      </c>
      <c r="E83" s="981">
        <v>764</v>
      </c>
      <c r="F83" s="981">
        <v>1476</v>
      </c>
      <c r="G83" s="981">
        <v>1023</v>
      </c>
      <c r="H83" s="981">
        <v>621</v>
      </c>
      <c r="I83" s="981">
        <v>402</v>
      </c>
      <c r="J83" s="981">
        <v>38848</v>
      </c>
      <c r="K83" s="981">
        <v>3.7989999999999999</v>
      </c>
      <c r="L83" s="981">
        <v>2.633</v>
      </c>
      <c r="M83" s="981">
        <v>37651</v>
      </c>
      <c r="N83" s="981">
        <v>3.92</v>
      </c>
      <c r="O83" s="981">
        <v>2.7170000000000001</v>
      </c>
    </row>
    <row r="84" spans="1:15" x14ac:dyDescent="0.25">
      <c r="A84" s="981" t="s">
        <v>259</v>
      </c>
      <c r="B84" s="981" t="s">
        <v>50</v>
      </c>
      <c r="C84" s="981" t="s">
        <v>315</v>
      </c>
      <c r="D84" s="981">
        <v>1327</v>
      </c>
      <c r="E84" s="981">
        <v>1990</v>
      </c>
      <c r="F84" s="981">
        <v>3317</v>
      </c>
      <c r="G84" s="981">
        <v>2190</v>
      </c>
      <c r="H84" s="981">
        <v>1744</v>
      </c>
      <c r="I84" s="981">
        <v>446</v>
      </c>
      <c r="J84" s="981">
        <v>154286</v>
      </c>
      <c r="K84" s="981">
        <v>2.15</v>
      </c>
      <c r="L84" s="981">
        <v>1.419</v>
      </c>
      <c r="M84" s="981">
        <v>151155</v>
      </c>
      <c r="N84" s="981">
        <v>2.194</v>
      </c>
      <c r="O84" s="981">
        <v>1.4490000000000001</v>
      </c>
    </row>
    <row r="85" spans="1:15" x14ac:dyDescent="0.25">
      <c r="A85" s="981" t="s">
        <v>259</v>
      </c>
      <c r="B85" s="981" t="s">
        <v>54</v>
      </c>
      <c r="C85" s="981" t="s">
        <v>301</v>
      </c>
      <c r="D85" s="981">
        <v>1122</v>
      </c>
      <c r="E85" s="981">
        <v>1263</v>
      </c>
      <c r="F85" s="981">
        <v>2385</v>
      </c>
      <c r="G85" s="981">
        <v>1721</v>
      </c>
      <c r="H85" s="981">
        <v>779</v>
      </c>
      <c r="I85" s="981">
        <v>942</v>
      </c>
      <c r="J85" s="981">
        <v>58167</v>
      </c>
      <c r="K85" s="981">
        <v>4.0999999999999996</v>
      </c>
      <c r="L85" s="981">
        <v>2.9590000000000001</v>
      </c>
      <c r="M85" s="981">
        <v>54306</v>
      </c>
      <c r="N85" s="981">
        <v>4.3920000000000003</v>
      </c>
      <c r="O85" s="981">
        <v>3.169</v>
      </c>
    </row>
    <row r="86" spans="1:15" x14ac:dyDescent="0.25">
      <c r="A86" s="981" t="s">
        <v>259</v>
      </c>
      <c r="B86" s="981" t="s">
        <v>58</v>
      </c>
      <c r="C86" s="981" t="s">
        <v>305</v>
      </c>
      <c r="D86" s="981">
        <v>335</v>
      </c>
      <c r="E86" s="981">
        <v>625</v>
      </c>
      <c r="F86" s="981">
        <v>960</v>
      </c>
      <c r="G86" s="981">
        <v>528</v>
      </c>
      <c r="H86" s="981">
        <v>315</v>
      </c>
      <c r="I86" s="981">
        <v>213</v>
      </c>
      <c r="J86" s="981">
        <v>41250</v>
      </c>
      <c r="K86" s="981">
        <v>2.327</v>
      </c>
      <c r="L86" s="981">
        <v>1.28</v>
      </c>
      <c r="M86" s="981">
        <v>39285</v>
      </c>
      <c r="N86" s="981">
        <v>2.444</v>
      </c>
      <c r="O86" s="981">
        <v>1.3440000000000001</v>
      </c>
    </row>
    <row r="87" spans="1:15" x14ac:dyDescent="0.25">
      <c r="A87" s="981" t="s">
        <v>258</v>
      </c>
      <c r="B87" s="981" t="s">
        <v>39</v>
      </c>
      <c r="C87" s="981" t="s">
        <v>316</v>
      </c>
      <c r="D87" s="981">
        <v>653</v>
      </c>
      <c r="E87" s="981">
        <v>579</v>
      </c>
      <c r="F87" s="981">
        <v>1232</v>
      </c>
      <c r="G87" s="981">
        <v>1040</v>
      </c>
      <c r="H87" s="981">
        <v>755</v>
      </c>
      <c r="I87" s="981">
        <v>285</v>
      </c>
      <c r="J87" s="981">
        <v>46721</v>
      </c>
      <c r="K87" s="981">
        <v>2.637</v>
      </c>
      <c r="L87" s="981">
        <v>2.226</v>
      </c>
      <c r="M87" s="981">
        <v>46023</v>
      </c>
      <c r="N87" s="981">
        <v>2.677</v>
      </c>
      <c r="O87" s="981">
        <v>2.2599999999999998</v>
      </c>
    </row>
    <row r="88" spans="1:15" x14ac:dyDescent="0.25">
      <c r="A88" s="981" t="s">
        <v>258</v>
      </c>
      <c r="B88" s="981" t="s">
        <v>48</v>
      </c>
      <c r="C88" s="981" t="s">
        <v>292</v>
      </c>
      <c r="D88" s="981">
        <v>112</v>
      </c>
      <c r="E88" s="981">
        <v>273</v>
      </c>
      <c r="F88" s="981">
        <v>385</v>
      </c>
      <c r="G88" s="981">
        <v>161</v>
      </c>
      <c r="H88" s="981">
        <v>132</v>
      </c>
      <c r="I88" s="981">
        <v>29</v>
      </c>
      <c r="J88" s="981">
        <v>14706</v>
      </c>
      <c r="K88" s="981">
        <v>2.6179999999999999</v>
      </c>
      <c r="L88" s="981">
        <v>1.095</v>
      </c>
      <c r="M88" s="981">
        <v>12773</v>
      </c>
      <c r="N88" s="981">
        <v>3.0139999999999998</v>
      </c>
      <c r="O88" s="981">
        <v>1.26</v>
      </c>
    </row>
    <row r="89" spans="1:15" x14ac:dyDescent="0.25">
      <c r="A89" s="981" t="s">
        <v>258</v>
      </c>
      <c r="B89" s="981" t="s">
        <v>55</v>
      </c>
      <c r="C89" s="981" t="s">
        <v>302</v>
      </c>
      <c r="D89" s="981">
        <v>87</v>
      </c>
      <c r="E89" s="981">
        <v>209</v>
      </c>
      <c r="F89" s="981">
        <v>296</v>
      </c>
      <c r="G89" s="981">
        <v>159</v>
      </c>
      <c r="H89" s="981">
        <v>85</v>
      </c>
      <c r="I89" s="981">
        <v>74</v>
      </c>
      <c r="J89" s="981">
        <v>11270</v>
      </c>
      <c r="K89" s="981">
        <v>2.6259999999999999</v>
      </c>
      <c r="L89" s="981">
        <v>1.411</v>
      </c>
      <c r="M89" s="981">
        <v>10384</v>
      </c>
      <c r="N89" s="981">
        <v>2.851</v>
      </c>
      <c r="O89" s="981">
        <v>1.5309999999999999</v>
      </c>
    </row>
    <row r="90" spans="1:15" x14ac:dyDescent="0.25">
      <c r="A90" s="981" t="s">
        <v>207</v>
      </c>
      <c r="B90" s="981" t="s">
        <v>47</v>
      </c>
      <c r="C90" s="981" t="s">
        <v>297</v>
      </c>
      <c r="D90" s="981">
        <v>332</v>
      </c>
      <c r="E90" s="981">
        <v>299</v>
      </c>
      <c r="F90" s="981">
        <v>631</v>
      </c>
      <c r="G90" s="981">
        <v>581</v>
      </c>
      <c r="H90" s="981">
        <v>317</v>
      </c>
      <c r="I90" s="981">
        <v>264</v>
      </c>
      <c r="J90" s="981">
        <v>43495</v>
      </c>
      <c r="K90" s="981">
        <v>1.4510000000000001</v>
      </c>
      <c r="L90" s="981">
        <v>1.3360000000000001</v>
      </c>
      <c r="M90" s="981">
        <v>40839</v>
      </c>
      <c r="N90" s="981">
        <v>1.5449999999999999</v>
      </c>
      <c r="O90" s="981">
        <v>1.423</v>
      </c>
    </row>
    <row r="91" spans="1:15" x14ac:dyDescent="0.25">
      <c r="A91" s="981" t="s">
        <v>206</v>
      </c>
      <c r="B91" s="981" t="s">
        <v>43</v>
      </c>
      <c r="C91" s="981" t="s">
        <v>441</v>
      </c>
      <c r="D91" s="981">
        <v>3404</v>
      </c>
      <c r="E91" s="981">
        <v>3462</v>
      </c>
      <c r="F91" s="981">
        <v>6866</v>
      </c>
      <c r="G91" s="981">
        <v>5377</v>
      </c>
      <c r="H91" s="981">
        <v>3640</v>
      </c>
      <c r="I91" s="981">
        <v>1737</v>
      </c>
      <c r="J91" s="981">
        <v>172425</v>
      </c>
      <c r="K91" s="981">
        <v>3.9820000000000002</v>
      </c>
      <c r="L91" s="981">
        <v>3.1179999999999999</v>
      </c>
      <c r="M91" s="981">
        <v>163958</v>
      </c>
      <c r="N91" s="981">
        <v>4.1879999999999997</v>
      </c>
      <c r="O91" s="981">
        <v>3.2789999999999999</v>
      </c>
    </row>
    <row r="92" spans="1:15" x14ac:dyDescent="0.25">
      <c r="A92" s="981" t="s">
        <v>206</v>
      </c>
      <c r="B92" s="981" t="s">
        <v>124</v>
      </c>
      <c r="C92" s="981" t="s">
        <v>317</v>
      </c>
      <c r="D92" s="981">
        <v>2493</v>
      </c>
      <c r="E92" s="981">
        <v>3638</v>
      </c>
      <c r="F92" s="981">
        <v>6131</v>
      </c>
      <c r="G92" s="981">
        <v>3703</v>
      </c>
      <c r="H92" s="981">
        <v>2836</v>
      </c>
      <c r="I92" s="981">
        <v>867</v>
      </c>
      <c r="J92" s="981">
        <v>301891</v>
      </c>
      <c r="K92" s="981">
        <v>2.0310000000000001</v>
      </c>
      <c r="L92" s="981">
        <v>1.2270000000000001</v>
      </c>
      <c r="M92" s="981">
        <v>286377</v>
      </c>
      <c r="N92" s="981">
        <v>2.141</v>
      </c>
      <c r="O92" s="981">
        <v>1.2929999999999999</v>
      </c>
    </row>
    <row r="93" spans="1:15" x14ac:dyDescent="0.25">
      <c r="A93" s="981" t="s">
        <v>206</v>
      </c>
      <c r="B93" s="981" t="s">
        <v>47</v>
      </c>
      <c r="C93" s="981" t="s">
        <v>297</v>
      </c>
      <c r="D93" s="981">
        <v>372</v>
      </c>
      <c r="E93" s="981">
        <v>356</v>
      </c>
      <c r="F93" s="981">
        <v>728</v>
      </c>
      <c r="G93" s="981">
        <v>629</v>
      </c>
      <c r="H93" s="981">
        <v>336</v>
      </c>
      <c r="I93" s="981">
        <v>293</v>
      </c>
      <c r="J93" s="981">
        <v>43788</v>
      </c>
      <c r="K93" s="981">
        <v>1.663</v>
      </c>
      <c r="L93" s="981">
        <v>1.4359999999999999</v>
      </c>
      <c r="M93" s="981">
        <v>41288</v>
      </c>
      <c r="N93" s="981">
        <v>1.7629999999999999</v>
      </c>
      <c r="O93" s="981">
        <v>1.5229999999999999</v>
      </c>
    </row>
    <row r="94" spans="1:15" x14ac:dyDescent="0.25">
      <c r="A94" s="981" t="s">
        <v>206</v>
      </c>
      <c r="B94" s="981" t="s">
        <v>55</v>
      </c>
      <c r="C94" s="981" t="s">
        <v>302</v>
      </c>
      <c r="D94" s="981">
        <v>55</v>
      </c>
      <c r="E94" s="981">
        <v>168</v>
      </c>
      <c r="F94" s="981">
        <v>223</v>
      </c>
      <c r="G94" s="981">
        <v>102</v>
      </c>
      <c r="H94" s="981">
        <v>60</v>
      </c>
      <c r="I94" s="981">
        <v>42</v>
      </c>
      <c r="J94" s="981">
        <v>10950</v>
      </c>
      <c r="K94" s="981">
        <v>2.0369999999999999</v>
      </c>
      <c r="L94" s="981">
        <v>0.93200000000000005</v>
      </c>
      <c r="M94" s="981">
        <v>10166</v>
      </c>
      <c r="N94" s="981">
        <v>2.194</v>
      </c>
      <c r="O94" s="981">
        <v>1.0029999999999999</v>
      </c>
    </row>
    <row r="95" spans="1:15" x14ac:dyDescent="0.25">
      <c r="A95" s="981" t="s">
        <v>205</v>
      </c>
      <c r="B95" s="981" t="s">
        <v>46</v>
      </c>
      <c r="C95" s="981" t="s">
        <v>296</v>
      </c>
      <c r="D95" s="981">
        <v>574</v>
      </c>
      <c r="E95" s="981">
        <v>527</v>
      </c>
      <c r="F95" s="981">
        <v>1101</v>
      </c>
      <c r="G95" s="981">
        <v>909</v>
      </c>
      <c r="H95" s="981">
        <v>474</v>
      </c>
      <c r="I95" s="981">
        <v>435</v>
      </c>
      <c r="J95" s="981">
        <v>38675</v>
      </c>
      <c r="K95" s="981">
        <v>2.847</v>
      </c>
      <c r="L95" s="981">
        <v>2.35</v>
      </c>
      <c r="M95" s="981">
        <v>37069</v>
      </c>
      <c r="N95" s="981">
        <v>2.97</v>
      </c>
      <c r="O95" s="981">
        <v>2.452</v>
      </c>
    </row>
    <row r="96" spans="1:15" x14ac:dyDescent="0.25">
      <c r="A96" s="981" t="s">
        <v>205</v>
      </c>
      <c r="B96" s="981" t="s">
        <v>49</v>
      </c>
      <c r="C96" s="981" t="s">
        <v>298</v>
      </c>
      <c r="D96" s="981">
        <v>932</v>
      </c>
      <c r="E96" s="981">
        <v>1137</v>
      </c>
      <c r="F96" s="981">
        <v>2069</v>
      </c>
      <c r="G96" s="981">
        <v>1485</v>
      </c>
      <c r="H96" s="981">
        <v>954</v>
      </c>
      <c r="I96" s="981">
        <v>531</v>
      </c>
      <c r="J96" s="981">
        <v>67590</v>
      </c>
      <c r="K96" s="981">
        <v>3.0609999999999999</v>
      </c>
      <c r="L96" s="981">
        <v>2.1970000000000001</v>
      </c>
      <c r="M96" s="981">
        <v>63189</v>
      </c>
      <c r="N96" s="981">
        <v>3.274</v>
      </c>
      <c r="O96" s="981">
        <v>2.35</v>
      </c>
    </row>
    <row r="97" spans="1:15" x14ac:dyDescent="0.25">
      <c r="A97" s="981" t="s">
        <v>205</v>
      </c>
      <c r="B97" s="981" t="s">
        <v>52</v>
      </c>
      <c r="C97" s="981" t="s">
        <v>300</v>
      </c>
      <c r="D97" s="981">
        <v>443</v>
      </c>
      <c r="E97" s="981">
        <v>1556</v>
      </c>
      <c r="F97" s="981">
        <v>1999</v>
      </c>
      <c r="G97" s="981">
        <v>671</v>
      </c>
      <c r="H97" s="981">
        <v>437</v>
      </c>
      <c r="I97" s="981">
        <v>234</v>
      </c>
      <c r="J97" s="981">
        <v>70828</v>
      </c>
      <c r="K97" s="981">
        <v>2.8220000000000001</v>
      </c>
      <c r="L97" s="981">
        <v>0.94699999999999995</v>
      </c>
      <c r="M97" s="981">
        <v>66545</v>
      </c>
      <c r="N97" s="981">
        <v>3.004</v>
      </c>
      <c r="O97" s="981">
        <v>1.008</v>
      </c>
    </row>
    <row r="98" spans="1:15" x14ac:dyDescent="0.25">
      <c r="A98" s="981" t="s">
        <v>205</v>
      </c>
      <c r="B98" s="981" t="s">
        <v>53</v>
      </c>
      <c r="C98" s="981" t="s">
        <v>310</v>
      </c>
      <c r="D98" s="981">
        <v>794</v>
      </c>
      <c r="E98" s="981">
        <v>944</v>
      </c>
      <c r="F98" s="981">
        <v>1738</v>
      </c>
      <c r="G98" s="981">
        <v>1264</v>
      </c>
      <c r="H98" s="981">
        <v>865</v>
      </c>
      <c r="I98" s="981">
        <v>399</v>
      </c>
      <c r="J98" s="981">
        <v>84997</v>
      </c>
      <c r="K98" s="981">
        <v>2.0449999999999999</v>
      </c>
      <c r="L98" s="981">
        <v>1.4870000000000001</v>
      </c>
      <c r="M98" s="981">
        <v>83245</v>
      </c>
      <c r="N98" s="981">
        <v>2.0880000000000001</v>
      </c>
      <c r="O98" s="981">
        <v>1.518</v>
      </c>
    </row>
    <row r="99" spans="1:15" x14ac:dyDescent="0.25">
      <c r="A99" s="981" t="s">
        <v>205</v>
      </c>
      <c r="B99" s="981" t="s">
        <v>57</v>
      </c>
      <c r="C99" s="981" t="s">
        <v>304</v>
      </c>
      <c r="D99" s="981">
        <v>1189</v>
      </c>
      <c r="E99" s="981">
        <v>2143</v>
      </c>
      <c r="F99" s="981">
        <v>3332</v>
      </c>
      <c r="G99" s="981">
        <v>1907</v>
      </c>
      <c r="H99" s="981">
        <v>1396</v>
      </c>
      <c r="I99" s="981">
        <v>511</v>
      </c>
      <c r="J99" s="981">
        <v>147849</v>
      </c>
      <c r="K99" s="981">
        <v>2.254</v>
      </c>
      <c r="L99" s="981">
        <v>1.29</v>
      </c>
      <c r="M99" s="981">
        <v>143313</v>
      </c>
      <c r="N99" s="981">
        <v>2.3250000000000002</v>
      </c>
      <c r="O99" s="981">
        <v>1.331</v>
      </c>
    </row>
    <row r="100" spans="1:15" x14ac:dyDescent="0.25">
      <c r="A100" s="981" t="s">
        <v>278</v>
      </c>
      <c r="B100" s="981" t="s">
        <v>32</v>
      </c>
      <c r="C100" s="981" t="s">
        <v>307</v>
      </c>
      <c r="D100" s="981">
        <v>739</v>
      </c>
      <c r="E100" s="981">
        <v>1595</v>
      </c>
      <c r="F100" s="981">
        <v>2334</v>
      </c>
      <c r="G100" s="981">
        <v>1222</v>
      </c>
      <c r="H100" s="981">
        <v>712</v>
      </c>
      <c r="I100" s="981">
        <v>510</v>
      </c>
      <c r="J100" s="981">
        <v>116421</v>
      </c>
      <c r="K100" s="981">
        <v>2.0049999999999999</v>
      </c>
      <c r="L100" s="981">
        <v>1.05</v>
      </c>
      <c r="M100" s="981">
        <v>110296</v>
      </c>
      <c r="N100" s="981">
        <v>2.1160000000000001</v>
      </c>
      <c r="O100" s="981">
        <v>1.1080000000000001</v>
      </c>
    </row>
    <row r="101" spans="1:15" x14ac:dyDescent="0.25">
      <c r="A101" s="981" t="s">
        <v>278</v>
      </c>
      <c r="B101" s="981" t="s">
        <v>39</v>
      </c>
      <c r="C101" s="981" t="s">
        <v>316</v>
      </c>
      <c r="D101" s="981">
        <v>720</v>
      </c>
      <c r="E101" s="981">
        <v>659</v>
      </c>
      <c r="F101" s="981">
        <v>1379</v>
      </c>
      <c r="G101" s="981">
        <v>1148</v>
      </c>
      <c r="H101" s="981">
        <v>857</v>
      </c>
      <c r="I101" s="981">
        <v>291</v>
      </c>
      <c r="J101" s="981">
        <v>46026</v>
      </c>
      <c r="K101" s="981">
        <v>2.996</v>
      </c>
      <c r="L101" s="981">
        <v>2.4940000000000002</v>
      </c>
      <c r="M101" s="981">
        <v>45350</v>
      </c>
      <c r="N101" s="981">
        <v>3.0409999999999999</v>
      </c>
      <c r="O101" s="981">
        <v>2.5310000000000001</v>
      </c>
    </row>
    <row r="102" spans="1:15" x14ac:dyDescent="0.25">
      <c r="A102" s="981" t="s">
        <v>278</v>
      </c>
      <c r="B102" s="981" t="s">
        <v>60</v>
      </c>
      <c r="C102" s="981" t="s">
        <v>312</v>
      </c>
      <c r="D102" s="981">
        <v>972</v>
      </c>
      <c r="E102" s="981">
        <v>766</v>
      </c>
      <c r="F102" s="981">
        <v>1738</v>
      </c>
      <c r="G102" s="981">
        <v>1502</v>
      </c>
      <c r="H102" s="981">
        <v>837</v>
      </c>
      <c r="I102" s="981">
        <v>665</v>
      </c>
      <c r="J102" s="981">
        <v>78604</v>
      </c>
      <c r="K102" s="981">
        <v>2.2109999999999999</v>
      </c>
      <c r="L102" s="981">
        <v>1.911</v>
      </c>
      <c r="M102" s="981">
        <v>76630</v>
      </c>
      <c r="N102" s="981">
        <v>2.2679999999999998</v>
      </c>
      <c r="O102" s="981">
        <v>1.96</v>
      </c>
    </row>
    <row r="103" spans="1:15" x14ac:dyDescent="0.25">
      <c r="A103" s="981" t="s">
        <v>259</v>
      </c>
      <c r="B103" s="981" t="s">
        <v>39</v>
      </c>
      <c r="C103" s="981" t="s">
        <v>316</v>
      </c>
      <c r="D103" s="981">
        <v>721</v>
      </c>
      <c r="E103" s="981">
        <v>684</v>
      </c>
      <c r="F103" s="981">
        <v>1405</v>
      </c>
      <c r="G103" s="981">
        <v>1112</v>
      </c>
      <c r="H103" s="981">
        <v>764</v>
      </c>
      <c r="I103" s="981">
        <v>348</v>
      </c>
      <c r="J103" s="981">
        <v>46430</v>
      </c>
      <c r="K103" s="981">
        <v>3.0259999999999998</v>
      </c>
      <c r="L103" s="981">
        <v>2.395</v>
      </c>
      <c r="M103" s="981">
        <v>45690</v>
      </c>
      <c r="N103" s="981">
        <v>3.0750000000000002</v>
      </c>
      <c r="O103" s="981">
        <v>2.4340000000000002</v>
      </c>
    </row>
    <row r="104" spans="1:15" x14ac:dyDescent="0.25">
      <c r="A104" s="981" t="s">
        <v>258</v>
      </c>
      <c r="B104" s="981" t="s">
        <v>262</v>
      </c>
      <c r="C104" s="981" t="s">
        <v>309</v>
      </c>
      <c r="D104" s="981">
        <v>1892</v>
      </c>
      <c r="E104" s="981">
        <v>2567</v>
      </c>
      <c r="F104" s="981">
        <v>4459</v>
      </c>
      <c r="G104" s="981">
        <v>2656</v>
      </c>
      <c r="H104" s="981">
        <v>1880</v>
      </c>
      <c r="I104" s="981">
        <v>776</v>
      </c>
      <c r="J104" s="981">
        <v>249810</v>
      </c>
      <c r="K104" s="981">
        <v>1.7849999999999999</v>
      </c>
      <c r="L104" s="981">
        <v>1.0629999999999999</v>
      </c>
      <c r="M104" s="981">
        <v>235771</v>
      </c>
      <c r="N104" s="981">
        <v>1.891</v>
      </c>
      <c r="O104" s="981">
        <v>1.127</v>
      </c>
    </row>
    <row r="105" spans="1:15" x14ac:dyDescent="0.25">
      <c r="A105" s="981" t="s">
        <v>258</v>
      </c>
      <c r="B105" s="981" t="s">
        <v>46</v>
      </c>
      <c r="C105" s="981" t="s">
        <v>296</v>
      </c>
      <c r="D105" s="981">
        <v>394</v>
      </c>
      <c r="E105" s="981">
        <v>606</v>
      </c>
      <c r="F105" s="981">
        <v>1000</v>
      </c>
      <c r="G105" s="981">
        <v>620</v>
      </c>
      <c r="H105" s="981">
        <v>353</v>
      </c>
      <c r="I105" s="981">
        <v>267</v>
      </c>
      <c r="J105" s="981">
        <v>40612</v>
      </c>
      <c r="K105" s="981">
        <v>2.4620000000000002</v>
      </c>
      <c r="L105" s="981">
        <v>1.5269999999999999</v>
      </c>
      <c r="M105" s="981">
        <v>39122</v>
      </c>
      <c r="N105" s="981">
        <v>2.556</v>
      </c>
      <c r="O105" s="981">
        <v>1.585</v>
      </c>
    </row>
    <row r="106" spans="1:15" x14ac:dyDescent="0.25">
      <c r="A106" s="981" t="s">
        <v>258</v>
      </c>
      <c r="B106" s="981" t="s">
        <v>49</v>
      </c>
      <c r="C106" s="981" t="s">
        <v>298</v>
      </c>
      <c r="D106" s="981">
        <v>702</v>
      </c>
      <c r="E106" s="981">
        <v>880</v>
      </c>
      <c r="F106" s="981">
        <v>1582</v>
      </c>
      <c r="G106" s="981">
        <v>1176</v>
      </c>
      <c r="H106" s="981">
        <v>725</v>
      </c>
      <c r="I106" s="981">
        <v>451</v>
      </c>
      <c r="J106" s="981">
        <v>68158</v>
      </c>
      <c r="K106" s="981">
        <v>2.3210000000000002</v>
      </c>
      <c r="L106" s="981">
        <v>1.7250000000000001</v>
      </c>
      <c r="M106" s="981">
        <v>63935</v>
      </c>
      <c r="N106" s="981">
        <v>2.4740000000000002</v>
      </c>
      <c r="O106" s="981">
        <v>1.839</v>
      </c>
    </row>
    <row r="107" spans="1:15" x14ac:dyDescent="0.25">
      <c r="A107" s="981" t="s">
        <v>258</v>
      </c>
      <c r="B107" s="981" t="s">
        <v>53</v>
      </c>
      <c r="C107" s="981" t="s">
        <v>310</v>
      </c>
      <c r="D107" s="981">
        <v>849</v>
      </c>
      <c r="E107" s="981">
        <v>1039</v>
      </c>
      <c r="F107" s="981">
        <v>1888</v>
      </c>
      <c r="G107" s="981">
        <v>1280</v>
      </c>
      <c r="H107" s="981">
        <v>805</v>
      </c>
      <c r="I107" s="981">
        <v>475</v>
      </c>
      <c r="J107" s="981">
        <v>87265</v>
      </c>
      <c r="K107" s="981">
        <v>2.1640000000000001</v>
      </c>
      <c r="L107" s="981">
        <v>1.4670000000000001</v>
      </c>
      <c r="M107" s="981">
        <v>85745</v>
      </c>
      <c r="N107" s="981">
        <v>2.202</v>
      </c>
      <c r="O107" s="981">
        <v>1.4930000000000001</v>
      </c>
    </row>
    <row r="108" spans="1:15" x14ac:dyDescent="0.25">
      <c r="A108" s="981" t="s">
        <v>258</v>
      </c>
      <c r="B108" s="981" t="s">
        <v>57</v>
      </c>
      <c r="C108" s="981" t="s">
        <v>304</v>
      </c>
      <c r="D108" s="981">
        <v>1352</v>
      </c>
      <c r="E108" s="981">
        <v>2192</v>
      </c>
      <c r="F108" s="981">
        <v>3544</v>
      </c>
      <c r="G108" s="981">
        <v>2147</v>
      </c>
      <c r="H108" s="981">
        <v>1663</v>
      </c>
      <c r="I108" s="981">
        <v>484</v>
      </c>
      <c r="J108" s="981">
        <v>151352</v>
      </c>
      <c r="K108" s="981">
        <v>2.3420000000000001</v>
      </c>
      <c r="L108" s="981">
        <v>1.419</v>
      </c>
      <c r="M108" s="981">
        <v>146173</v>
      </c>
      <c r="N108" s="981">
        <v>2.4249999999999998</v>
      </c>
      <c r="O108" s="981">
        <v>1.4690000000000001</v>
      </c>
    </row>
    <row r="109" spans="1:15" x14ac:dyDescent="0.25">
      <c r="A109" s="981" t="s">
        <v>207</v>
      </c>
      <c r="B109" s="981" t="s">
        <v>46</v>
      </c>
      <c r="C109" s="981" t="s">
        <v>296</v>
      </c>
      <c r="D109" s="981">
        <v>569</v>
      </c>
      <c r="E109" s="981">
        <v>411</v>
      </c>
      <c r="F109" s="981">
        <v>980</v>
      </c>
      <c r="G109" s="981">
        <v>857</v>
      </c>
      <c r="H109" s="981">
        <v>405</v>
      </c>
      <c r="I109" s="981">
        <v>452</v>
      </c>
      <c r="J109" s="981">
        <v>37503</v>
      </c>
      <c r="K109" s="981">
        <v>2.613</v>
      </c>
      <c r="L109" s="981">
        <v>2.2850000000000001</v>
      </c>
      <c r="M109" s="981">
        <v>36009</v>
      </c>
      <c r="N109" s="981">
        <v>2.722</v>
      </c>
      <c r="O109" s="981">
        <v>2.38</v>
      </c>
    </row>
    <row r="110" spans="1:15" x14ac:dyDescent="0.25">
      <c r="A110" s="981" t="s">
        <v>207</v>
      </c>
      <c r="B110" s="981" t="s">
        <v>52</v>
      </c>
      <c r="C110" s="981" t="s">
        <v>300</v>
      </c>
      <c r="D110" s="981">
        <v>922</v>
      </c>
      <c r="E110" s="981">
        <v>3448</v>
      </c>
      <c r="F110" s="981">
        <v>4370</v>
      </c>
      <c r="G110" s="981">
        <v>1414</v>
      </c>
      <c r="H110" s="981">
        <v>890</v>
      </c>
      <c r="I110" s="981">
        <v>524</v>
      </c>
      <c r="J110" s="981">
        <v>69923</v>
      </c>
      <c r="K110" s="981">
        <v>6.25</v>
      </c>
      <c r="L110" s="981">
        <v>2.0219999999999998</v>
      </c>
      <c r="M110" s="981">
        <v>65616</v>
      </c>
      <c r="N110" s="981">
        <v>6.66</v>
      </c>
      <c r="O110" s="981">
        <v>2.1549999999999998</v>
      </c>
    </row>
    <row r="111" spans="1:15" x14ac:dyDescent="0.25">
      <c r="A111" s="981" t="s">
        <v>206</v>
      </c>
      <c r="B111" s="981" t="s">
        <v>31</v>
      </c>
      <c r="C111" s="981" t="s">
        <v>306</v>
      </c>
      <c r="D111" s="981">
        <v>524</v>
      </c>
      <c r="E111" s="981">
        <v>1951</v>
      </c>
      <c r="F111" s="981">
        <v>2475</v>
      </c>
      <c r="G111" s="981">
        <v>752</v>
      </c>
      <c r="H111" s="981">
        <v>469</v>
      </c>
      <c r="I111" s="981">
        <v>283</v>
      </c>
      <c r="J111" s="981">
        <v>113508</v>
      </c>
      <c r="K111" s="981">
        <v>2.1800000000000002</v>
      </c>
      <c r="L111" s="981">
        <v>0.66300000000000003</v>
      </c>
      <c r="M111" s="981">
        <v>105287</v>
      </c>
      <c r="N111" s="981">
        <v>2.351</v>
      </c>
      <c r="O111" s="981">
        <v>0.71399999999999997</v>
      </c>
    </row>
    <row r="112" spans="1:15" x14ac:dyDescent="0.25">
      <c r="A112" s="981" t="s">
        <v>206</v>
      </c>
      <c r="B112" s="981" t="s">
        <v>262</v>
      </c>
      <c r="C112" s="981" t="s">
        <v>309</v>
      </c>
      <c r="D112" s="981">
        <v>2833</v>
      </c>
      <c r="E112" s="981">
        <v>2754</v>
      </c>
      <c r="F112" s="981">
        <v>5587</v>
      </c>
      <c r="G112" s="981">
        <v>3885</v>
      </c>
      <c r="H112" s="981">
        <v>2716</v>
      </c>
      <c r="I112" s="981">
        <v>1169</v>
      </c>
      <c r="J112" s="981">
        <v>239525</v>
      </c>
      <c r="K112" s="981">
        <v>2.3330000000000002</v>
      </c>
      <c r="L112" s="981">
        <v>1.6220000000000001</v>
      </c>
      <c r="M112" s="981">
        <v>229231</v>
      </c>
      <c r="N112" s="981">
        <v>2.4369999999999998</v>
      </c>
      <c r="O112" s="981">
        <v>1.6950000000000001</v>
      </c>
    </row>
    <row r="113" spans="1:15" x14ac:dyDescent="0.25">
      <c r="A113" s="981" t="s">
        <v>206</v>
      </c>
      <c r="B113" s="981" t="s">
        <v>52</v>
      </c>
      <c r="C113" s="981" t="s">
        <v>300</v>
      </c>
      <c r="D113" s="981">
        <v>635</v>
      </c>
      <c r="E113" s="981">
        <v>1787</v>
      </c>
      <c r="F113" s="981">
        <v>2422</v>
      </c>
      <c r="G113" s="981">
        <v>947</v>
      </c>
      <c r="H113" s="981">
        <v>628</v>
      </c>
      <c r="I113" s="981">
        <v>319</v>
      </c>
      <c r="J113" s="981">
        <v>70312</v>
      </c>
      <c r="K113" s="981">
        <v>3.4449999999999998</v>
      </c>
      <c r="L113" s="981">
        <v>1.347</v>
      </c>
      <c r="M113" s="981">
        <v>66035</v>
      </c>
      <c r="N113" s="981">
        <v>3.6680000000000001</v>
      </c>
      <c r="O113" s="981">
        <v>1.4339999999999999</v>
      </c>
    </row>
    <row r="114" spans="1:15" x14ac:dyDescent="0.25">
      <c r="A114" s="981" t="s">
        <v>206</v>
      </c>
      <c r="B114" s="981" t="s">
        <v>53</v>
      </c>
      <c r="C114" s="981" t="s">
        <v>310</v>
      </c>
      <c r="D114" s="981">
        <v>885</v>
      </c>
      <c r="E114" s="981">
        <v>1268</v>
      </c>
      <c r="F114" s="981">
        <v>2153</v>
      </c>
      <c r="G114" s="981">
        <v>1445</v>
      </c>
      <c r="H114" s="981">
        <v>1020</v>
      </c>
      <c r="I114" s="981">
        <v>425</v>
      </c>
      <c r="J114" s="981">
        <v>84442</v>
      </c>
      <c r="K114" s="981">
        <v>2.5499999999999998</v>
      </c>
      <c r="L114" s="981">
        <v>1.7110000000000001</v>
      </c>
      <c r="M114" s="981">
        <v>82385</v>
      </c>
      <c r="N114" s="981">
        <v>2.613</v>
      </c>
      <c r="O114" s="981">
        <v>1.754</v>
      </c>
    </row>
    <row r="115" spans="1:15" x14ac:dyDescent="0.25">
      <c r="A115" s="981" t="s">
        <v>205</v>
      </c>
      <c r="B115" s="981" t="s">
        <v>37</v>
      </c>
      <c r="C115" s="981" t="s">
        <v>314</v>
      </c>
      <c r="D115" s="981">
        <v>849</v>
      </c>
      <c r="E115" s="981">
        <v>3502</v>
      </c>
      <c r="F115" s="981">
        <v>4351</v>
      </c>
      <c r="G115" s="981">
        <v>1188</v>
      </c>
      <c r="H115" s="981">
        <v>818</v>
      </c>
      <c r="I115" s="981">
        <v>370</v>
      </c>
      <c r="J115" s="981">
        <v>73689</v>
      </c>
      <c r="K115" s="981">
        <v>5.9050000000000002</v>
      </c>
      <c r="L115" s="981">
        <v>1.6120000000000001</v>
      </c>
      <c r="M115" s="981">
        <v>69534</v>
      </c>
      <c r="N115" s="981">
        <v>6.2569999999999997</v>
      </c>
      <c r="O115" s="981">
        <v>1.7090000000000001</v>
      </c>
    </row>
    <row r="116" spans="1:15" x14ac:dyDescent="0.25">
      <c r="A116" s="981" t="s">
        <v>205</v>
      </c>
      <c r="B116" s="981" t="s">
        <v>40</v>
      </c>
      <c r="C116" s="981" t="s">
        <v>290</v>
      </c>
      <c r="D116" s="981">
        <v>716</v>
      </c>
      <c r="E116" s="981">
        <v>704</v>
      </c>
      <c r="F116" s="981">
        <v>1420</v>
      </c>
      <c r="G116" s="981">
        <v>1220</v>
      </c>
      <c r="H116" s="981">
        <v>715</v>
      </c>
      <c r="I116" s="981">
        <v>505</v>
      </c>
      <c r="J116" s="981">
        <v>46332</v>
      </c>
      <c r="K116" s="981">
        <v>3.0649999999999999</v>
      </c>
      <c r="L116" s="981">
        <v>2.633</v>
      </c>
      <c r="M116" s="981">
        <v>44384</v>
      </c>
      <c r="N116" s="981">
        <v>3.1989999999999998</v>
      </c>
      <c r="O116" s="981">
        <v>2.7490000000000001</v>
      </c>
    </row>
    <row r="117" spans="1:15" x14ac:dyDescent="0.25">
      <c r="A117" s="981" t="s">
        <v>205</v>
      </c>
      <c r="B117" s="981" t="s">
        <v>54</v>
      </c>
      <c r="C117" s="981" t="s">
        <v>301</v>
      </c>
      <c r="D117" s="981">
        <v>1347</v>
      </c>
      <c r="E117" s="981">
        <v>1196</v>
      </c>
      <c r="F117" s="981">
        <v>2543</v>
      </c>
      <c r="G117" s="981">
        <v>2132</v>
      </c>
      <c r="H117" s="981">
        <v>802</v>
      </c>
      <c r="I117" s="981">
        <v>1330</v>
      </c>
      <c r="J117" s="981">
        <v>57628</v>
      </c>
      <c r="K117" s="981">
        <v>4.4130000000000003</v>
      </c>
      <c r="L117" s="981">
        <v>3.7</v>
      </c>
      <c r="M117" s="981">
        <v>53351</v>
      </c>
      <c r="N117" s="981">
        <v>4.7670000000000003</v>
      </c>
      <c r="O117" s="981">
        <v>3.996</v>
      </c>
    </row>
    <row r="118" spans="1:15" x14ac:dyDescent="0.25">
      <c r="A118" s="981" t="s">
        <v>205</v>
      </c>
      <c r="B118" s="981" t="s">
        <v>55</v>
      </c>
      <c r="C118" s="981" t="s">
        <v>302</v>
      </c>
      <c r="D118" s="981">
        <v>100</v>
      </c>
      <c r="E118" s="981">
        <v>177</v>
      </c>
      <c r="F118" s="981">
        <v>277</v>
      </c>
      <c r="G118" s="981">
        <v>195</v>
      </c>
      <c r="H118" s="981">
        <v>101</v>
      </c>
      <c r="I118" s="981">
        <v>94</v>
      </c>
      <c r="J118" s="981">
        <v>11021</v>
      </c>
      <c r="K118" s="981">
        <v>2.5129999999999999</v>
      </c>
      <c r="L118" s="981">
        <v>1.7689999999999999</v>
      </c>
      <c r="M118" s="981">
        <v>10235</v>
      </c>
      <c r="N118" s="981">
        <v>2.706</v>
      </c>
      <c r="O118" s="981">
        <v>1.905</v>
      </c>
    </row>
    <row r="119" spans="1:15" x14ac:dyDescent="0.25">
      <c r="A119" s="981" t="s">
        <v>278</v>
      </c>
      <c r="B119" s="981" t="s">
        <v>35</v>
      </c>
      <c r="C119" s="981" t="s">
        <v>287</v>
      </c>
      <c r="D119" s="981">
        <v>270</v>
      </c>
      <c r="E119" s="981">
        <v>361</v>
      </c>
      <c r="F119" s="981">
        <v>631</v>
      </c>
      <c r="G119" s="981">
        <v>401</v>
      </c>
      <c r="H119" s="981">
        <v>281</v>
      </c>
      <c r="I119" s="981">
        <v>120</v>
      </c>
      <c r="J119" s="981">
        <v>24221</v>
      </c>
      <c r="K119" s="981">
        <v>2.605</v>
      </c>
      <c r="L119" s="981">
        <v>1.6559999999999999</v>
      </c>
      <c r="M119" s="981">
        <v>23401</v>
      </c>
      <c r="N119" s="981">
        <v>2.6960000000000002</v>
      </c>
      <c r="O119" s="981">
        <v>1.714</v>
      </c>
    </row>
    <row r="120" spans="1:15" x14ac:dyDescent="0.25">
      <c r="A120" s="981" t="s">
        <v>278</v>
      </c>
      <c r="B120" s="981" t="s">
        <v>36</v>
      </c>
      <c r="C120" s="981" t="s">
        <v>288</v>
      </c>
      <c r="D120" s="981">
        <v>1262</v>
      </c>
      <c r="E120" s="981">
        <v>848</v>
      </c>
      <c r="F120" s="981">
        <v>2110</v>
      </c>
      <c r="G120" s="981">
        <v>1792</v>
      </c>
      <c r="H120" s="981">
        <v>1150</v>
      </c>
      <c r="I120" s="981">
        <v>642</v>
      </c>
      <c r="J120" s="981">
        <v>74453</v>
      </c>
      <c r="K120" s="981">
        <v>2.8340000000000001</v>
      </c>
      <c r="L120" s="981">
        <v>2.407</v>
      </c>
      <c r="M120" s="981">
        <v>69202</v>
      </c>
      <c r="N120" s="981">
        <v>3.0489999999999999</v>
      </c>
      <c r="O120" s="981">
        <v>2.59</v>
      </c>
    </row>
    <row r="121" spans="1:15" x14ac:dyDescent="0.25">
      <c r="A121" s="981" t="s">
        <v>278</v>
      </c>
      <c r="B121" s="981" t="s">
        <v>43</v>
      </c>
      <c r="C121" s="981" t="s">
        <v>441</v>
      </c>
      <c r="D121" s="981">
        <v>3394</v>
      </c>
      <c r="E121" s="981">
        <v>3061</v>
      </c>
      <c r="F121" s="981">
        <v>6455</v>
      </c>
      <c r="G121" s="981">
        <v>5319</v>
      </c>
      <c r="H121" s="981">
        <v>3465</v>
      </c>
      <c r="I121" s="981">
        <v>1854</v>
      </c>
      <c r="J121" s="981">
        <v>174528</v>
      </c>
      <c r="K121" s="981">
        <v>3.6989999999999998</v>
      </c>
      <c r="L121" s="981">
        <v>3.048</v>
      </c>
      <c r="M121" s="981">
        <v>165833</v>
      </c>
      <c r="N121" s="981">
        <v>3.8919999999999999</v>
      </c>
      <c r="O121" s="981">
        <v>3.2069999999999999</v>
      </c>
    </row>
    <row r="122" spans="1:15" x14ac:dyDescent="0.25">
      <c r="A122" s="981" t="s">
        <v>278</v>
      </c>
      <c r="B122" s="981" t="s">
        <v>48</v>
      </c>
      <c r="C122" s="981" t="s">
        <v>292</v>
      </c>
      <c r="D122" s="981">
        <v>94</v>
      </c>
      <c r="E122" s="981">
        <v>249</v>
      </c>
      <c r="F122" s="981">
        <v>343</v>
      </c>
      <c r="G122" s="981">
        <v>141</v>
      </c>
      <c r="H122" s="981">
        <v>95</v>
      </c>
      <c r="I122" s="981">
        <v>46</v>
      </c>
      <c r="J122" s="981">
        <v>14599</v>
      </c>
      <c r="K122" s="981">
        <v>2.3490000000000002</v>
      </c>
      <c r="L122" s="981">
        <v>0.96599999999999997</v>
      </c>
      <c r="M122" s="981">
        <v>12951</v>
      </c>
      <c r="N122" s="981">
        <v>2.6480000000000001</v>
      </c>
      <c r="O122" s="981">
        <v>1.089</v>
      </c>
    </row>
    <row r="123" spans="1:15" x14ac:dyDescent="0.25">
      <c r="A123" s="981" t="s">
        <v>278</v>
      </c>
      <c r="B123" s="981" t="s">
        <v>58</v>
      </c>
      <c r="C123" s="981" t="s">
        <v>305</v>
      </c>
      <c r="D123" s="981">
        <v>336</v>
      </c>
      <c r="E123" s="981">
        <v>720</v>
      </c>
      <c r="F123" s="981">
        <v>1056</v>
      </c>
      <c r="G123" s="981">
        <v>535</v>
      </c>
      <c r="H123" s="981">
        <v>334</v>
      </c>
      <c r="I123" s="981">
        <v>201</v>
      </c>
      <c r="J123" s="981">
        <v>40998</v>
      </c>
      <c r="K123" s="981">
        <v>2.5760000000000001</v>
      </c>
      <c r="L123" s="981">
        <v>1.3049999999999999</v>
      </c>
      <c r="M123" s="981">
        <v>38951</v>
      </c>
      <c r="N123" s="981">
        <v>2.7109999999999999</v>
      </c>
      <c r="O123" s="981">
        <v>1.3740000000000001</v>
      </c>
    </row>
    <row r="124" spans="1:15" x14ac:dyDescent="0.25">
      <c r="A124" s="981" t="s">
        <v>278</v>
      </c>
      <c r="B124" s="981" t="s">
        <v>59</v>
      </c>
      <c r="C124" s="981" t="s">
        <v>311</v>
      </c>
      <c r="D124" s="981">
        <v>558</v>
      </c>
      <c r="E124" s="981">
        <v>1035</v>
      </c>
      <c r="F124" s="981">
        <v>1593</v>
      </c>
      <c r="G124" s="981">
        <v>858</v>
      </c>
      <c r="H124" s="981">
        <v>620</v>
      </c>
      <c r="I124" s="981">
        <v>238</v>
      </c>
      <c r="J124" s="981">
        <v>45104</v>
      </c>
      <c r="K124" s="981">
        <v>3.532</v>
      </c>
      <c r="L124" s="981">
        <v>1.9019999999999999</v>
      </c>
      <c r="M124" s="981">
        <v>42657</v>
      </c>
      <c r="N124" s="981">
        <v>3.734</v>
      </c>
      <c r="O124" s="981">
        <v>2.0110000000000001</v>
      </c>
    </row>
    <row r="125" spans="1:15" x14ac:dyDescent="0.25">
      <c r="A125" s="981" t="s">
        <v>259</v>
      </c>
      <c r="B125" s="981" t="s">
        <v>32</v>
      </c>
      <c r="C125" s="981" t="s">
        <v>307</v>
      </c>
      <c r="D125" s="981">
        <v>736</v>
      </c>
      <c r="E125" s="981">
        <v>1405</v>
      </c>
      <c r="F125" s="981">
        <v>2141</v>
      </c>
      <c r="G125" s="981">
        <v>1281</v>
      </c>
      <c r="H125" s="981">
        <v>828</v>
      </c>
      <c r="I125" s="981">
        <v>453</v>
      </c>
      <c r="J125" s="981">
        <v>117363</v>
      </c>
      <c r="K125" s="981">
        <v>1.8240000000000001</v>
      </c>
      <c r="L125" s="981">
        <v>1.091</v>
      </c>
      <c r="M125" s="981">
        <v>110941</v>
      </c>
      <c r="N125" s="981">
        <v>1.93</v>
      </c>
      <c r="O125" s="981">
        <v>1.155</v>
      </c>
    </row>
    <row r="126" spans="1:15" x14ac:dyDescent="0.25">
      <c r="A126" s="981" t="s">
        <v>259</v>
      </c>
      <c r="B126" s="981" t="s">
        <v>34</v>
      </c>
      <c r="C126" s="981" t="s">
        <v>308</v>
      </c>
      <c r="D126" s="981">
        <v>650</v>
      </c>
      <c r="E126" s="981">
        <v>1030</v>
      </c>
      <c r="F126" s="981">
        <v>1680</v>
      </c>
      <c r="G126" s="981">
        <v>965</v>
      </c>
      <c r="H126" s="981">
        <v>503</v>
      </c>
      <c r="I126" s="981">
        <v>462</v>
      </c>
      <c r="J126" s="981">
        <v>47884</v>
      </c>
      <c r="K126" s="981">
        <v>3.508</v>
      </c>
      <c r="L126" s="981">
        <v>2.0150000000000001</v>
      </c>
      <c r="M126" s="981">
        <v>41455</v>
      </c>
      <c r="N126" s="981">
        <v>4.0529999999999999</v>
      </c>
      <c r="O126" s="981">
        <v>2.3279999999999998</v>
      </c>
    </row>
    <row r="127" spans="1:15" x14ac:dyDescent="0.25">
      <c r="A127" s="981" t="s">
        <v>259</v>
      </c>
      <c r="B127" s="981" t="s">
        <v>35</v>
      </c>
      <c r="C127" s="981" t="s">
        <v>287</v>
      </c>
      <c r="D127" s="981">
        <v>204</v>
      </c>
      <c r="E127" s="981">
        <v>360</v>
      </c>
      <c r="F127" s="981">
        <v>564</v>
      </c>
      <c r="G127" s="981">
        <v>315</v>
      </c>
      <c r="H127" s="981">
        <v>230</v>
      </c>
      <c r="I127" s="981">
        <v>85</v>
      </c>
      <c r="J127" s="981">
        <v>24377</v>
      </c>
      <c r="K127" s="981">
        <v>2.3140000000000001</v>
      </c>
      <c r="L127" s="981">
        <v>1.292</v>
      </c>
      <c r="M127" s="981">
        <v>23563</v>
      </c>
      <c r="N127" s="981">
        <v>2.3940000000000001</v>
      </c>
      <c r="O127" s="981">
        <v>1.337</v>
      </c>
    </row>
    <row r="128" spans="1:15" x14ac:dyDescent="0.25">
      <c r="A128" s="981" t="s">
        <v>259</v>
      </c>
      <c r="B128" s="981" t="s">
        <v>48</v>
      </c>
      <c r="C128" s="981" t="s">
        <v>292</v>
      </c>
      <c r="D128" s="981">
        <v>125</v>
      </c>
      <c r="E128" s="981">
        <v>224</v>
      </c>
      <c r="F128" s="981">
        <v>349</v>
      </c>
      <c r="G128" s="981">
        <v>182</v>
      </c>
      <c r="H128" s="981">
        <v>171</v>
      </c>
      <c r="I128" s="981">
        <v>11</v>
      </c>
      <c r="J128" s="981">
        <v>14714</v>
      </c>
      <c r="K128" s="981">
        <v>2.3719999999999999</v>
      </c>
      <c r="L128" s="981">
        <v>1.2370000000000001</v>
      </c>
      <c r="M128" s="981">
        <v>12805</v>
      </c>
      <c r="N128" s="981">
        <v>2.7250000000000001</v>
      </c>
      <c r="O128" s="981">
        <v>1.421</v>
      </c>
    </row>
    <row r="129" spans="1:15" x14ac:dyDescent="0.25">
      <c r="A129" s="981" t="s">
        <v>259</v>
      </c>
      <c r="B129" s="981" t="s">
        <v>56</v>
      </c>
      <c r="C129" s="981" t="s">
        <v>303</v>
      </c>
      <c r="D129" s="981">
        <v>543</v>
      </c>
      <c r="E129" s="981">
        <v>765</v>
      </c>
      <c r="F129" s="981">
        <v>1308</v>
      </c>
      <c r="G129" s="981">
        <v>893</v>
      </c>
      <c r="H129" s="981">
        <v>559</v>
      </c>
      <c r="I129" s="981">
        <v>334</v>
      </c>
      <c r="J129" s="981">
        <v>55252</v>
      </c>
      <c r="K129" s="981">
        <v>2.367</v>
      </c>
      <c r="L129" s="981">
        <v>1.6160000000000001</v>
      </c>
      <c r="M129" s="981">
        <v>52104</v>
      </c>
      <c r="N129" s="981">
        <v>2.5099999999999998</v>
      </c>
      <c r="O129" s="981">
        <v>1.714</v>
      </c>
    </row>
    <row r="130" spans="1:15" x14ac:dyDescent="0.25">
      <c r="A130" s="981" t="s">
        <v>259</v>
      </c>
      <c r="B130" s="981" t="s">
        <v>57</v>
      </c>
      <c r="C130" s="981" t="s">
        <v>304</v>
      </c>
      <c r="D130" s="981">
        <v>1336</v>
      </c>
      <c r="E130" s="981">
        <v>2180</v>
      </c>
      <c r="F130" s="981">
        <v>3516</v>
      </c>
      <c r="G130" s="981">
        <v>2110</v>
      </c>
      <c r="H130" s="981">
        <v>1607</v>
      </c>
      <c r="I130" s="981">
        <v>503</v>
      </c>
      <c r="J130" s="981">
        <v>149972</v>
      </c>
      <c r="K130" s="981">
        <v>2.3439999999999999</v>
      </c>
      <c r="L130" s="981">
        <v>1.407</v>
      </c>
      <c r="M130" s="981">
        <v>145182</v>
      </c>
      <c r="N130" s="981">
        <v>2.4220000000000002</v>
      </c>
      <c r="O130" s="981">
        <v>1.4530000000000001</v>
      </c>
    </row>
    <row r="131" spans="1:15" x14ac:dyDescent="0.25">
      <c r="A131" s="981" t="s">
        <v>259</v>
      </c>
      <c r="B131" s="981" t="s">
        <v>59</v>
      </c>
      <c r="C131" s="981" t="s">
        <v>311</v>
      </c>
      <c r="D131" s="981">
        <v>653</v>
      </c>
      <c r="E131" s="981">
        <v>1022</v>
      </c>
      <c r="F131" s="981">
        <v>1675</v>
      </c>
      <c r="G131" s="981">
        <v>997</v>
      </c>
      <c r="H131" s="981">
        <v>712</v>
      </c>
      <c r="I131" s="981">
        <v>285</v>
      </c>
      <c r="J131" s="981">
        <v>45093</v>
      </c>
      <c r="K131" s="981">
        <v>3.7149999999999999</v>
      </c>
      <c r="L131" s="981">
        <v>2.2109999999999999</v>
      </c>
      <c r="M131" s="981">
        <v>42746</v>
      </c>
      <c r="N131" s="981">
        <v>3.9180000000000001</v>
      </c>
      <c r="O131" s="981">
        <v>2.3319999999999999</v>
      </c>
    </row>
    <row r="132" spans="1:15" x14ac:dyDescent="0.25">
      <c r="A132" s="981" t="s">
        <v>259</v>
      </c>
      <c r="B132" s="981" t="s">
        <v>60</v>
      </c>
      <c r="C132" s="981" t="s">
        <v>312</v>
      </c>
      <c r="D132" s="981">
        <v>964</v>
      </c>
      <c r="E132" s="981">
        <v>1092</v>
      </c>
      <c r="F132" s="981">
        <v>2056</v>
      </c>
      <c r="G132" s="981">
        <v>1456</v>
      </c>
      <c r="H132" s="981">
        <v>850</v>
      </c>
      <c r="I132" s="981">
        <v>606</v>
      </c>
      <c r="J132" s="981">
        <v>79112</v>
      </c>
      <c r="K132" s="981">
        <v>2.5990000000000002</v>
      </c>
      <c r="L132" s="981">
        <v>1.84</v>
      </c>
      <c r="M132" s="981">
        <v>77369</v>
      </c>
      <c r="N132" s="981">
        <v>2.657</v>
      </c>
      <c r="O132" s="981">
        <v>1.8819999999999999</v>
      </c>
    </row>
    <row r="133" spans="1:15" x14ac:dyDescent="0.25">
      <c r="A133" s="981" t="s">
        <v>258</v>
      </c>
      <c r="B133" s="981" t="s">
        <v>47</v>
      </c>
      <c r="C133" s="981" t="s">
        <v>297</v>
      </c>
      <c r="D133" s="981">
        <v>515</v>
      </c>
      <c r="E133" s="981">
        <v>1149</v>
      </c>
      <c r="F133" s="981">
        <v>1664</v>
      </c>
      <c r="G133" s="981">
        <v>870</v>
      </c>
      <c r="H133" s="981">
        <v>397</v>
      </c>
      <c r="I133" s="981">
        <v>473</v>
      </c>
      <c r="J133" s="981">
        <v>45209</v>
      </c>
      <c r="K133" s="981">
        <v>3.681</v>
      </c>
      <c r="L133" s="981">
        <v>1.9239999999999999</v>
      </c>
      <c r="M133" s="981">
        <v>42554</v>
      </c>
      <c r="N133" s="981">
        <v>3.91</v>
      </c>
      <c r="O133" s="981">
        <v>2.044</v>
      </c>
    </row>
    <row r="134" spans="1:15" x14ac:dyDescent="0.25">
      <c r="A134" s="981" t="s">
        <v>258</v>
      </c>
      <c r="B134" s="981" t="s">
        <v>54</v>
      </c>
      <c r="C134" s="981" t="s">
        <v>301</v>
      </c>
      <c r="D134" s="981">
        <v>920</v>
      </c>
      <c r="E134" s="981">
        <v>1207</v>
      </c>
      <c r="F134" s="981">
        <v>2127</v>
      </c>
      <c r="G134" s="981">
        <v>1413</v>
      </c>
      <c r="H134" s="981">
        <v>740</v>
      </c>
      <c r="I134" s="981">
        <v>673</v>
      </c>
      <c r="J134" s="981">
        <v>58425</v>
      </c>
      <c r="K134" s="981">
        <v>3.641</v>
      </c>
      <c r="L134" s="981">
        <v>2.4180000000000001</v>
      </c>
      <c r="M134" s="981">
        <v>54413</v>
      </c>
      <c r="N134" s="981">
        <v>3.9089999999999998</v>
      </c>
      <c r="O134" s="981">
        <v>2.597</v>
      </c>
    </row>
    <row r="135" spans="1:15" x14ac:dyDescent="0.25">
      <c r="A135" s="981" t="s">
        <v>258</v>
      </c>
      <c r="B135" s="981" t="s">
        <v>58</v>
      </c>
      <c r="C135" s="981" t="s">
        <v>305</v>
      </c>
      <c r="D135" s="981">
        <v>322</v>
      </c>
      <c r="E135" s="981">
        <v>611</v>
      </c>
      <c r="F135" s="981">
        <v>933</v>
      </c>
      <c r="G135" s="981">
        <v>509</v>
      </c>
      <c r="H135" s="981">
        <v>327</v>
      </c>
      <c r="I135" s="981">
        <v>182</v>
      </c>
      <c r="J135" s="981">
        <v>41443</v>
      </c>
      <c r="K135" s="981">
        <v>2.2509999999999999</v>
      </c>
      <c r="L135" s="981">
        <v>1.228</v>
      </c>
      <c r="M135" s="981">
        <v>39440</v>
      </c>
      <c r="N135" s="981">
        <v>2.3660000000000001</v>
      </c>
      <c r="O135" s="981">
        <v>1.2909999999999999</v>
      </c>
    </row>
    <row r="136" spans="1:15" x14ac:dyDescent="0.25">
      <c r="A136" s="981" t="s">
        <v>207</v>
      </c>
      <c r="B136" s="981" t="s">
        <v>36</v>
      </c>
      <c r="C136" s="981" t="s">
        <v>288</v>
      </c>
      <c r="D136" s="981">
        <v>1064</v>
      </c>
      <c r="E136" s="981">
        <v>392</v>
      </c>
      <c r="F136" s="981">
        <v>1456</v>
      </c>
      <c r="G136" s="981">
        <v>1422</v>
      </c>
      <c r="H136" s="981">
        <v>882</v>
      </c>
      <c r="I136" s="981">
        <v>540</v>
      </c>
      <c r="J136" s="981">
        <v>73555</v>
      </c>
      <c r="K136" s="981">
        <v>1.9790000000000001</v>
      </c>
      <c r="L136" s="981">
        <v>1.9330000000000001</v>
      </c>
      <c r="M136" s="981">
        <v>68682</v>
      </c>
      <c r="N136" s="981">
        <v>2.12</v>
      </c>
      <c r="O136" s="981">
        <v>2.0699999999999998</v>
      </c>
    </row>
    <row r="137" spans="1:15" x14ac:dyDescent="0.25">
      <c r="A137" s="981" t="s">
        <v>207</v>
      </c>
      <c r="B137" s="981" t="s">
        <v>44</v>
      </c>
      <c r="C137" s="981" t="s">
        <v>294</v>
      </c>
      <c r="D137" s="981">
        <v>1287</v>
      </c>
      <c r="E137" s="981">
        <v>2547</v>
      </c>
      <c r="F137" s="981">
        <v>3834</v>
      </c>
      <c r="G137" s="981">
        <v>2041</v>
      </c>
      <c r="H137" s="981">
        <v>1317</v>
      </c>
      <c r="I137" s="981">
        <v>724</v>
      </c>
      <c r="J137" s="981">
        <v>113703</v>
      </c>
      <c r="K137" s="981">
        <v>3.3719999999999999</v>
      </c>
      <c r="L137" s="981">
        <v>1.7949999999999999</v>
      </c>
      <c r="M137" s="981">
        <v>104445</v>
      </c>
      <c r="N137" s="981">
        <v>3.6709999999999998</v>
      </c>
      <c r="O137" s="981">
        <v>1.954</v>
      </c>
    </row>
    <row r="138" spans="1:15" x14ac:dyDescent="0.25">
      <c r="A138" s="981" t="s">
        <v>207</v>
      </c>
      <c r="B138" s="981" t="s">
        <v>45</v>
      </c>
      <c r="C138" s="981" t="s">
        <v>295</v>
      </c>
      <c r="D138" s="981">
        <v>649</v>
      </c>
      <c r="E138" s="981">
        <v>595</v>
      </c>
      <c r="F138" s="981">
        <v>1244</v>
      </c>
      <c r="G138" s="981">
        <v>980</v>
      </c>
      <c r="H138" s="981">
        <v>626</v>
      </c>
      <c r="I138" s="981">
        <v>354</v>
      </c>
      <c r="J138" s="981">
        <v>38791</v>
      </c>
      <c r="K138" s="981">
        <v>3.2069999999999999</v>
      </c>
      <c r="L138" s="981">
        <v>2.5259999999999998</v>
      </c>
      <c r="M138" s="981">
        <v>37337</v>
      </c>
      <c r="N138" s="981">
        <v>3.3319999999999999</v>
      </c>
      <c r="O138" s="981">
        <v>2.625</v>
      </c>
    </row>
    <row r="139" spans="1:15" x14ac:dyDescent="0.25">
      <c r="A139" s="981" t="s">
        <v>207</v>
      </c>
      <c r="B139" s="981" t="s">
        <v>54</v>
      </c>
      <c r="C139" s="981" t="s">
        <v>301</v>
      </c>
      <c r="D139" s="981">
        <v>1252</v>
      </c>
      <c r="E139" s="981">
        <v>1347</v>
      </c>
      <c r="F139" s="981">
        <v>2599</v>
      </c>
      <c r="G139" s="981">
        <v>1994</v>
      </c>
      <c r="H139" s="981">
        <v>947</v>
      </c>
      <c r="I139" s="981">
        <v>1047</v>
      </c>
      <c r="J139" s="981">
        <v>57097</v>
      </c>
      <c r="K139" s="981">
        <v>4.5519999999999996</v>
      </c>
      <c r="L139" s="981">
        <v>3.492</v>
      </c>
      <c r="M139" s="981">
        <v>52934</v>
      </c>
      <c r="N139" s="981">
        <v>4.91</v>
      </c>
      <c r="O139" s="981">
        <v>3.7669999999999999</v>
      </c>
    </row>
    <row r="140" spans="1:15" x14ac:dyDescent="0.25">
      <c r="A140" s="981" t="s">
        <v>207</v>
      </c>
      <c r="B140" s="981" t="s">
        <v>58</v>
      </c>
      <c r="C140" s="981" t="s">
        <v>305</v>
      </c>
      <c r="D140" s="981">
        <v>265</v>
      </c>
      <c r="E140" s="981">
        <v>607</v>
      </c>
      <c r="F140" s="981">
        <v>872</v>
      </c>
      <c r="G140" s="981">
        <v>410</v>
      </c>
      <c r="H140" s="981">
        <v>297</v>
      </c>
      <c r="I140" s="981">
        <v>113</v>
      </c>
      <c r="J140" s="981">
        <v>39965</v>
      </c>
      <c r="K140" s="981">
        <v>2.1819999999999999</v>
      </c>
      <c r="L140" s="981">
        <v>1.026</v>
      </c>
      <c r="M140" s="981">
        <v>38056</v>
      </c>
      <c r="N140" s="981">
        <v>2.2909999999999999</v>
      </c>
      <c r="O140" s="981">
        <v>1.077</v>
      </c>
    </row>
    <row r="141" spans="1:15" x14ac:dyDescent="0.25">
      <c r="A141" s="981" t="s">
        <v>206</v>
      </c>
      <c r="B141" s="981" t="s">
        <v>36</v>
      </c>
      <c r="C141" s="981" t="s">
        <v>288</v>
      </c>
      <c r="D141" s="981">
        <v>897</v>
      </c>
      <c r="E141" s="981">
        <v>629</v>
      </c>
      <c r="F141" s="981">
        <v>1526</v>
      </c>
      <c r="G141" s="981">
        <v>1215</v>
      </c>
      <c r="H141" s="981">
        <v>765</v>
      </c>
      <c r="I141" s="981">
        <v>450</v>
      </c>
      <c r="J141" s="981">
        <v>73895</v>
      </c>
      <c r="K141" s="981">
        <v>2.0649999999999999</v>
      </c>
      <c r="L141" s="981">
        <v>1.6439999999999999</v>
      </c>
      <c r="M141" s="981">
        <v>68818</v>
      </c>
      <c r="N141" s="981">
        <v>2.2170000000000001</v>
      </c>
      <c r="O141" s="981">
        <v>1.766</v>
      </c>
    </row>
    <row r="142" spans="1:15" x14ac:dyDescent="0.25">
      <c r="A142" s="981" t="s">
        <v>206</v>
      </c>
      <c r="B142" s="981" t="s">
        <v>44</v>
      </c>
      <c r="C142" s="981" t="s">
        <v>294</v>
      </c>
      <c r="D142" s="981">
        <v>962</v>
      </c>
      <c r="E142" s="981">
        <v>2623</v>
      </c>
      <c r="F142" s="981">
        <v>3585</v>
      </c>
      <c r="G142" s="981">
        <v>1542</v>
      </c>
      <c r="H142" s="981">
        <v>1042</v>
      </c>
      <c r="I142" s="981">
        <v>500</v>
      </c>
      <c r="J142" s="981">
        <v>114603</v>
      </c>
      <c r="K142" s="981">
        <v>3.1280000000000001</v>
      </c>
      <c r="L142" s="981">
        <v>1.3460000000000001</v>
      </c>
      <c r="M142" s="981">
        <v>105711</v>
      </c>
      <c r="N142" s="981">
        <v>3.391</v>
      </c>
      <c r="O142" s="981">
        <v>1.4590000000000001</v>
      </c>
    </row>
    <row r="143" spans="1:15" x14ac:dyDescent="0.25">
      <c r="A143" s="981" t="s">
        <v>206</v>
      </c>
      <c r="B143" s="981" t="s">
        <v>45</v>
      </c>
      <c r="C143" s="981" t="s">
        <v>295</v>
      </c>
      <c r="D143" s="981">
        <v>673</v>
      </c>
      <c r="E143" s="981">
        <v>631</v>
      </c>
      <c r="F143" s="981">
        <v>1304</v>
      </c>
      <c r="G143" s="981">
        <v>1022</v>
      </c>
      <c r="H143" s="981">
        <v>636</v>
      </c>
      <c r="I143" s="981">
        <v>386</v>
      </c>
      <c r="J143" s="981">
        <v>38699</v>
      </c>
      <c r="K143" s="981">
        <v>3.37</v>
      </c>
      <c r="L143" s="981">
        <v>2.641</v>
      </c>
      <c r="M143" s="981">
        <v>37384</v>
      </c>
      <c r="N143" s="981">
        <v>3.488</v>
      </c>
      <c r="O143" s="981">
        <v>2.734</v>
      </c>
    </row>
    <row r="144" spans="1:15" x14ac:dyDescent="0.25">
      <c r="A144" s="981" t="s">
        <v>206</v>
      </c>
      <c r="B144" s="981" t="s">
        <v>54</v>
      </c>
      <c r="C144" s="981" t="s">
        <v>301</v>
      </c>
      <c r="D144" s="981">
        <v>1229</v>
      </c>
      <c r="E144" s="981">
        <v>1194</v>
      </c>
      <c r="F144" s="981">
        <v>2423</v>
      </c>
      <c r="G144" s="981">
        <v>1916</v>
      </c>
      <c r="H144" s="981">
        <v>844</v>
      </c>
      <c r="I144" s="981">
        <v>1072</v>
      </c>
      <c r="J144" s="981">
        <v>57274</v>
      </c>
      <c r="K144" s="981">
        <v>4.2309999999999999</v>
      </c>
      <c r="L144" s="981">
        <v>3.3450000000000002</v>
      </c>
      <c r="M144" s="981">
        <v>53157</v>
      </c>
      <c r="N144" s="981">
        <v>4.5579999999999998</v>
      </c>
      <c r="O144" s="981">
        <v>3.6040000000000001</v>
      </c>
    </row>
    <row r="145" spans="1:15" x14ac:dyDescent="0.25">
      <c r="A145" s="981" t="s">
        <v>206</v>
      </c>
      <c r="B145" s="981" t="s">
        <v>58</v>
      </c>
      <c r="C145" s="981" t="s">
        <v>305</v>
      </c>
      <c r="D145" s="981">
        <v>352</v>
      </c>
      <c r="E145" s="981">
        <v>667</v>
      </c>
      <c r="F145" s="981">
        <v>1019</v>
      </c>
      <c r="G145" s="981">
        <v>557</v>
      </c>
      <c r="H145" s="981">
        <v>391</v>
      </c>
      <c r="I145" s="981">
        <v>166</v>
      </c>
      <c r="J145" s="981">
        <v>40320</v>
      </c>
      <c r="K145" s="981">
        <v>2.5270000000000001</v>
      </c>
      <c r="L145" s="981">
        <v>1.381</v>
      </c>
      <c r="M145" s="981">
        <v>38310</v>
      </c>
      <c r="N145" s="981">
        <v>2.66</v>
      </c>
      <c r="O145" s="981">
        <v>1.454</v>
      </c>
    </row>
    <row r="146" spans="1:15" x14ac:dyDescent="0.25">
      <c r="A146" s="981" t="s">
        <v>205</v>
      </c>
      <c r="B146" s="981" t="s">
        <v>262</v>
      </c>
      <c r="C146" s="981" t="s">
        <v>309</v>
      </c>
      <c r="D146" s="981">
        <v>2759</v>
      </c>
      <c r="E146" s="981">
        <v>2546</v>
      </c>
      <c r="F146" s="981">
        <v>5305</v>
      </c>
      <c r="G146" s="981">
        <v>3843</v>
      </c>
      <c r="H146" s="981">
        <v>2752</v>
      </c>
      <c r="I146" s="981">
        <v>1091</v>
      </c>
      <c r="J146" s="981">
        <v>241433</v>
      </c>
      <c r="K146" s="981">
        <v>2.1970000000000001</v>
      </c>
      <c r="L146" s="981">
        <v>1.5920000000000001</v>
      </c>
      <c r="M146" s="981">
        <v>229650</v>
      </c>
      <c r="N146" s="981">
        <v>2.31</v>
      </c>
      <c r="O146" s="981">
        <v>1.673</v>
      </c>
    </row>
    <row r="147" spans="1:15" x14ac:dyDescent="0.25">
      <c r="A147" s="981" t="s">
        <v>205</v>
      </c>
      <c r="B147" s="981" t="s">
        <v>35</v>
      </c>
      <c r="C147" s="981" t="s">
        <v>287</v>
      </c>
      <c r="D147" s="981">
        <v>243</v>
      </c>
      <c r="E147" s="981">
        <v>382</v>
      </c>
      <c r="F147" s="981">
        <v>625</v>
      </c>
      <c r="G147" s="981">
        <v>359</v>
      </c>
      <c r="H147" s="981">
        <v>229</v>
      </c>
      <c r="I147" s="981">
        <v>130</v>
      </c>
      <c r="J147" s="981">
        <v>24114</v>
      </c>
      <c r="K147" s="981">
        <v>2.5920000000000001</v>
      </c>
      <c r="L147" s="981">
        <v>1.4890000000000001</v>
      </c>
      <c r="M147" s="981">
        <v>23333</v>
      </c>
      <c r="N147" s="981">
        <v>2.6789999999999998</v>
      </c>
      <c r="O147" s="981">
        <v>1.5389999999999999</v>
      </c>
    </row>
    <row r="148" spans="1:15" x14ac:dyDescent="0.25">
      <c r="A148" s="981" t="s">
        <v>205</v>
      </c>
      <c r="B148" s="981" t="s">
        <v>41</v>
      </c>
      <c r="C148" s="981" t="s">
        <v>291</v>
      </c>
      <c r="D148" s="981">
        <v>587</v>
      </c>
      <c r="E148" s="981">
        <v>1106</v>
      </c>
      <c r="F148" s="981">
        <v>1693</v>
      </c>
      <c r="G148" s="981">
        <v>890</v>
      </c>
      <c r="H148" s="981">
        <v>640</v>
      </c>
      <c r="I148" s="981">
        <v>250</v>
      </c>
      <c r="J148" s="981">
        <v>38061</v>
      </c>
      <c r="K148" s="981">
        <v>4.4480000000000004</v>
      </c>
      <c r="L148" s="981">
        <v>2.3380000000000001</v>
      </c>
      <c r="M148" s="981">
        <v>38270</v>
      </c>
      <c r="N148" s="981">
        <v>4.4240000000000004</v>
      </c>
      <c r="O148" s="981">
        <v>2.3260000000000001</v>
      </c>
    </row>
    <row r="149" spans="1:15" x14ac:dyDescent="0.25">
      <c r="A149" s="981" t="s">
        <v>205</v>
      </c>
      <c r="B149" s="981" t="s">
        <v>47</v>
      </c>
      <c r="C149" s="981" t="s">
        <v>297</v>
      </c>
      <c r="D149" s="981">
        <v>426</v>
      </c>
      <c r="E149" s="981">
        <v>479</v>
      </c>
      <c r="F149" s="981">
        <v>905</v>
      </c>
      <c r="G149" s="981">
        <v>767</v>
      </c>
      <c r="H149" s="981">
        <v>383</v>
      </c>
      <c r="I149" s="981">
        <v>384</v>
      </c>
      <c r="J149" s="981">
        <v>44096</v>
      </c>
      <c r="K149" s="981">
        <v>2.052</v>
      </c>
      <c r="L149" s="981">
        <v>1.7390000000000001</v>
      </c>
      <c r="M149" s="981">
        <v>41641</v>
      </c>
      <c r="N149" s="981">
        <v>2.173</v>
      </c>
      <c r="O149" s="981">
        <v>1.8420000000000001</v>
      </c>
    </row>
    <row r="150" spans="1:15" x14ac:dyDescent="0.25">
      <c r="A150" s="981" t="s">
        <v>205</v>
      </c>
      <c r="B150" s="981" t="s">
        <v>51</v>
      </c>
      <c r="C150" s="981" t="s">
        <v>299</v>
      </c>
      <c r="D150" s="981">
        <v>134</v>
      </c>
      <c r="E150" s="981">
        <v>192</v>
      </c>
      <c r="F150" s="981">
        <v>326</v>
      </c>
      <c r="G150" s="981">
        <v>201</v>
      </c>
      <c r="H150" s="981">
        <v>109</v>
      </c>
      <c r="I150" s="981">
        <v>92</v>
      </c>
      <c r="J150" s="981">
        <v>10924</v>
      </c>
      <c r="K150" s="981">
        <v>2.984</v>
      </c>
      <c r="L150" s="981">
        <v>1.84</v>
      </c>
      <c r="M150" s="981">
        <v>10146</v>
      </c>
      <c r="N150" s="981">
        <v>3.2130000000000001</v>
      </c>
      <c r="O150" s="981">
        <v>1.9810000000000001</v>
      </c>
    </row>
    <row r="151" spans="1:15" x14ac:dyDescent="0.25">
      <c r="A151" s="981" t="s">
        <v>278</v>
      </c>
      <c r="B151" s="981" t="s">
        <v>31</v>
      </c>
      <c r="C151" s="981" t="s">
        <v>306</v>
      </c>
      <c r="D151" s="981">
        <v>466</v>
      </c>
      <c r="E151" s="981">
        <v>1427</v>
      </c>
      <c r="F151" s="981">
        <v>1893</v>
      </c>
      <c r="G151" s="981">
        <v>673</v>
      </c>
      <c r="H151" s="981">
        <v>374</v>
      </c>
      <c r="I151" s="981">
        <v>299</v>
      </c>
      <c r="J151" s="981">
        <v>115080</v>
      </c>
      <c r="K151" s="981">
        <v>1.645</v>
      </c>
      <c r="L151" s="981">
        <v>0.58499999999999996</v>
      </c>
      <c r="M151" s="981">
        <v>106749</v>
      </c>
      <c r="N151" s="981">
        <v>1.7729999999999999</v>
      </c>
      <c r="O151" s="981">
        <v>0.63</v>
      </c>
    </row>
    <row r="152" spans="1:15" x14ac:dyDescent="0.25">
      <c r="A152" s="981" t="s">
        <v>278</v>
      </c>
      <c r="B152" s="981" t="s">
        <v>34</v>
      </c>
      <c r="C152" s="981" t="s">
        <v>308</v>
      </c>
      <c r="D152" s="981">
        <v>630</v>
      </c>
      <c r="E152" s="981">
        <v>925</v>
      </c>
      <c r="F152" s="981">
        <v>1555</v>
      </c>
      <c r="G152" s="981">
        <v>978</v>
      </c>
      <c r="H152" s="981">
        <v>481</v>
      </c>
      <c r="I152" s="981">
        <v>497</v>
      </c>
      <c r="J152" s="981">
        <v>47780</v>
      </c>
      <c r="K152" s="981">
        <v>3.254</v>
      </c>
      <c r="L152" s="981">
        <v>2.0470000000000002</v>
      </c>
      <c r="M152" s="981">
        <v>41040</v>
      </c>
      <c r="N152" s="981">
        <v>3.7890000000000001</v>
      </c>
      <c r="O152" s="981">
        <v>2.383</v>
      </c>
    </row>
    <row r="153" spans="1:15" x14ac:dyDescent="0.25">
      <c r="A153" s="981" t="s">
        <v>278</v>
      </c>
      <c r="B153" s="981" t="s">
        <v>42</v>
      </c>
      <c r="C153" s="981" t="s">
        <v>293</v>
      </c>
      <c r="D153" s="981">
        <v>570</v>
      </c>
      <c r="E153" s="981">
        <v>980</v>
      </c>
      <c r="F153" s="981">
        <v>1550</v>
      </c>
      <c r="G153" s="981">
        <v>878</v>
      </c>
      <c r="H153" s="981">
        <v>612</v>
      </c>
      <c r="I153" s="981">
        <v>266</v>
      </c>
      <c r="J153" s="981">
        <v>73767</v>
      </c>
      <c r="K153" s="981">
        <v>2.101</v>
      </c>
      <c r="L153" s="981">
        <v>1.19</v>
      </c>
      <c r="M153" s="981">
        <v>71072</v>
      </c>
      <c r="N153" s="981">
        <v>2.181</v>
      </c>
      <c r="O153" s="981">
        <v>1.2350000000000001</v>
      </c>
    </row>
    <row r="154" spans="1:15" x14ac:dyDescent="0.25">
      <c r="A154" s="981" t="s">
        <v>278</v>
      </c>
      <c r="B154" s="981" t="s">
        <v>124</v>
      </c>
      <c r="C154" s="981" t="s">
        <v>317</v>
      </c>
      <c r="D154" s="981">
        <v>2486</v>
      </c>
      <c r="E154" s="981">
        <v>3499</v>
      </c>
      <c r="F154" s="981">
        <v>5985</v>
      </c>
      <c r="G154" s="981">
        <v>3481</v>
      </c>
      <c r="H154" s="981">
        <v>2532</v>
      </c>
      <c r="I154" s="981">
        <v>949</v>
      </c>
      <c r="J154" s="981">
        <v>306000</v>
      </c>
      <c r="K154" s="981">
        <v>1.956</v>
      </c>
      <c r="L154" s="981">
        <v>1.1379999999999999</v>
      </c>
      <c r="M154" s="981">
        <v>289399</v>
      </c>
      <c r="N154" s="981">
        <v>2.0680000000000001</v>
      </c>
      <c r="O154" s="981">
        <v>1.2030000000000001</v>
      </c>
    </row>
    <row r="155" spans="1:15" x14ac:dyDescent="0.25">
      <c r="A155" s="981" t="s">
        <v>278</v>
      </c>
      <c r="B155" s="981" t="s">
        <v>55</v>
      </c>
      <c r="C155" s="981" t="s">
        <v>302</v>
      </c>
      <c r="D155" s="981">
        <v>86</v>
      </c>
      <c r="E155" s="981">
        <v>283</v>
      </c>
      <c r="F155" s="981">
        <v>369</v>
      </c>
      <c r="G155" s="981">
        <v>160</v>
      </c>
      <c r="H155" s="981">
        <v>90</v>
      </c>
      <c r="I155" s="981">
        <v>70</v>
      </c>
      <c r="J155" s="981">
        <v>11109</v>
      </c>
      <c r="K155" s="981">
        <v>3.3220000000000001</v>
      </c>
      <c r="L155" s="981">
        <v>1.44</v>
      </c>
      <c r="M155" s="981">
        <v>10283</v>
      </c>
      <c r="N155" s="981">
        <v>3.5880000000000001</v>
      </c>
      <c r="O155" s="981">
        <v>1.556</v>
      </c>
    </row>
    <row r="156" spans="1:15" x14ac:dyDescent="0.25">
      <c r="A156" s="981" t="s">
        <v>278</v>
      </c>
      <c r="B156" s="981" t="s">
        <v>56</v>
      </c>
      <c r="C156" s="981" t="s">
        <v>303</v>
      </c>
      <c r="D156" s="981">
        <v>691</v>
      </c>
      <c r="E156" s="981">
        <v>784</v>
      </c>
      <c r="F156" s="981">
        <v>1475</v>
      </c>
      <c r="G156" s="981">
        <v>1102</v>
      </c>
      <c r="H156" s="981">
        <v>697</v>
      </c>
      <c r="I156" s="981">
        <v>405</v>
      </c>
      <c r="J156" s="981">
        <v>54942</v>
      </c>
      <c r="K156" s="981">
        <v>2.6850000000000001</v>
      </c>
      <c r="L156" s="981">
        <v>2.0059999999999998</v>
      </c>
      <c r="M156" s="981">
        <v>51923</v>
      </c>
      <c r="N156" s="981">
        <v>2.8410000000000002</v>
      </c>
      <c r="O156" s="981">
        <v>2.1219999999999999</v>
      </c>
    </row>
    <row r="157" spans="1:15" x14ac:dyDescent="0.25">
      <c r="A157" s="981" t="s">
        <v>259</v>
      </c>
      <c r="B157" s="981" t="s">
        <v>33</v>
      </c>
      <c r="C157" s="981" t="s">
        <v>313</v>
      </c>
      <c r="D157" s="981">
        <v>469</v>
      </c>
      <c r="E157" s="981">
        <v>1121</v>
      </c>
      <c r="F157" s="981">
        <v>1590</v>
      </c>
      <c r="G157" s="981">
        <v>650</v>
      </c>
      <c r="H157" s="981">
        <v>434</v>
      </c>
      <c r="I157" s="981">
        <v>216</v>
      </c>
      <c r="J157" s="981">
        <v>56135</v>
      </c>
      <c r="K157" s="981">
        <v>2.8319999999999999</v>
      </c>
      <c r="L157" s="981">
        <v>1.1579999999999999</v>
      </c>
      <c r="M157" s="981">
        <v>53627</v>
      </c>
      <c r="N157" s="981">
        <v>2.9649999999999999</v>
      </c>
      <c r="O157" s="981">
        <v>1.212</v>
      </c>
    </row>
    <row r="158" spans="1:15" x14ac:dyDescent="0.25">
      <c r="A158" s="981" t="s">
        <v>259</v>
      </c>
      <c r="B158" s="981" t="s">
        <v>37</v>
      </c>
      <c r="C158" s="981" t="s">
        <v>314</v>
      </c>
      <c r="D158" s="981">
        <v>662</v>
      </c>
      <c r="E158" s="981">
        <v>2304</v>
      </c>
      <c r="F158" s="981">
        <v>2966</v>
      </c>
      <c r="G158" s="981">
        <v>915</v>
      </c>
      <c r="H158" s="981">
        <v>626</v>
      </c>
      <c r="I158" s="981">
        <v>289</v>
      </c>
      <c r="J158" s="981">
        <v>74354</v>
      </c>
      <c r="K158" s="981">
        <v>3.9889999999999999</v>
      </c>
      <c r="L158" s="981">
        <v>1.2310000000000001</v>
      </c>
      <c r="M158" s="981">
        <v>70049</v>
      </c>
      <c r="N158" s="981">
        <v>4.234</v>
      </c>
      <c r="O158" s="981">
        <v>1.306</v>
      </c>
    </row>
    <row r="159" spans="1:15" x14ac:dyDescent="0.25">
      <c r="A159" s="981" t="s">
        <v>259</v>
      </c>
      <c r="B159" s="981" t="s">
        <v>42</v>
      </c>
      <c r="C159" s="981" t="s">
        <v>293</v>
      </c>
      <c r="D159" s="981">
        <v>512</v>
      </c>
      <c r="E159" s="981">
        <v>1083</v>
      </c>
      <c r="F159" s="981">
        <v>1595</v>
      </c>
      <c r="G159" s="981">
        <v>810</v>
      </c>
      <c r="H159" s="981">
        <v>530</v>
      </c>
      <c r="I159" s="981">
        <v>280</v>
      </c>
      <c r="J159" s="981">
        <v>74361</v>
      </c>
      <c r="K159" s="981">
        <v>2.145</v>
      </c>
      <c r="L159" s="981">
        <v>1.089</v>
      </c>
      <c r="M159" s="981">
        <v>71800</v>
      </c>
      <c r="N159" s="981">
        <v>2.2210000000000001</v>
      </c>
      <c r="O159" s="981">
        <v>1.1279999999999999</v>
      </c>
    </row>
    <row r="160" spans="1:15" x14ac:dyDescent="0.25">
      <c r="A160" s="981" t="s">
        <v>259</v>
      </c>
      <c r="B160" s="981" t="s">
        <v>124</v>
      </c>
      <c r="C160" s="981" t="s">
        <v>317</v>
      </c>
      <c r="D160" s="981">
        <v>2973</v>
      </c>
      <c r="E160" s="981">
        <v>5059</v>
      </c>
      <c r="F160" s="981">
        <v>8032</v>
      </c>
      <c r="G160" s="981">
        <v>4071</v>
      </c>
      <c r="H160" s="981">
        <v>3089</v>
      </c>
      <c r="I160" s="981">
        <v>982</v>
      </c>
      <c r="J160" s="981">
        <v>308293</v>
      </c>
      <c r="K160" s="981">
        <v>2.605</v>
      </c>
      <c r="L160" s="981">
        <v>1.32</v>
      </c>
      <c r="M160" s="981">
        <v>291115</v>
      </c>
      <c r="N160" s="981">
        <v>2.7589999999999999</v>
      </c>
      <c r="O160" s="981">
        <v>1.3979999999999999</v>
      </c>
    </row>
    <row r="161" spans="1:15" x14ac:dyDescent="0.25">
      <c r="A161" s="981" t="s">
        <v>259</v>
      </c>
      <c r="B161" s="981" t="s">
        <v>55</v>
      </c>
      <c r="C161" s="981" t="s">
        <v>302</v>
      </c>
      <c r="D161" s="981">
        <v>113</v>
      </c>
      <c r="E161" s="981">
        <v>212</v>
      </c>
      <c r="F161" s="981">
        <v>325</v>
      </c>
      <c r="G161" s="981">
        <v>204</v>
      </c>
      <c r="H161" s="981">
        <v>128</v>
      </c>
      <c r="I161" s="981">
        <v>76</v>
      </c>
      <c r="J161" s="981">
        <v>11180</v>
      </c>
      <c r="K161" s="981">
        <v>2.907</v>
      </c>
      <c r="L161" s="981">
        <v>1.825</v>
      </c>
      <c r="M161" s="981">
        <v>10341</v>
      </c>
      <c r="N161" s="981">
        <v>3.1429999999999998</v>
      </c>
      <c r="O161" s="981">
        <v>1.9730000000000001</v>
      </c>
    </row>
    <row r="162" spans="1:15" x14ac:dyDescent="0.25">
      <c r="A162" s="981" t="s">
        <v>258</v>
      </c>
      <c r="B162" s="981" t="s">
        <v>31</v>
      </c>
      <c r="C162" s="981" t="s">
        <v>306</v>
      </c>
      <c r="D162" s="981">
        <v>569</v>
      </c>
      <c r="E162" s="981">
        <v>2176</v>
      </c>
      <c r="F162" s="981">
        <v>2745</v>
      </c>
      <c r="G162" s="981">
        <v>824</v>
      </c>
      <c r="H162" s="981">
        <v>546</v>
      </c>
      <c r="I162" s="981">
        <v>278</v>
      </c>
      <c r="J162" s="981">
        <v>118131</v>
      </c>
      <c r="K162" s="981">
        <v>2.3239999999999998</v>
      </c>
      <c r="L162" s="981">
        <v>0.69799999999999995</v>
      </c>
      <c r="M162" s="981">
        <v>107586</v>
      </c>
      <c r="N162" s="981">
        <v>2.5510000000000002</v>
      </c>
      <c r="O162" s="981">
        <v>0.76600000000000001</v>
      </c>
    </row>
    <row r="163" spans="1:15" x14ac:dyDescent="0.25">
      <c r="A163" s="981" t="s">
        <v>258</v>
      </c>
      <c r="B163" s="981" t="s">
        <v>35</v>
      </c>
      <c r="C163" s="981" t="s">
        <v>287</v>
      </c>
      <c r="D163" s="981">
        <v>219</v>
      </c>
      <c r="E163" s="981">
        <v>372</v>
      </c>
      <c r="F163" s="981">
        <v>591</v>
      </c>
      <c r="G163" s="981">
        <v>317</v>
      </c>
      <c r="H163" s="981">
        <v>235</v>
      </c>
      <c r="I163" s="981">
        <v>82</v>
      </c>
      <c r="J163" s="981">
        <v>24524</v>
      </c>
      <c r="K163" s="981">
        <v>2.41</v>
      </c>
      <c r="L163" s="981">
        <v>1.2929999999999999</v>
      </c>
      <c r="M163" s="981">
        <v>23674</v>
      </c>
      <c r="N163" s="981">
        <v>2.496</v>
      </c>
      <c r="O163" s="981">
        <v>1.339</v>
      </c>
    </row>
    <row r="164" spans="1:15" x14ac:dyDescent="0.25">
      <c r="A164" s="981" t="s">
        <v>258</v>
      </c>
      <c r="B164" s="981" t="s">
        <v>56</v>
      </c>
      <c r="C164" s="981" t="s">
        <v>303</v>
      </c>
      <c r="D164" s="981">
        <v>437</v>
      </c>
      <c r="E164" s="981">
        <v>687</v>
      </c>
      <c r="F164" s="981">
        <v>1124</v>
      </c>
      <c r="G164" s="981">
        <v>735</v>
      </c>
      <c r="H164" s="981">
        <v>531</v>
      </c>
      <c r="I164" s="981">
        <v>204</v>
      </c>
      <c r="J164" s="981">
        <v>55486</v>
      </c>
      <c r="K164" s="981">
        <v>2.0259999999999998</v>
      </c>
      <c r="L164" s="981">
        <v>1.325</v>
      </c>
      <c r="M164" s="981">
        <v>52281</v>
      </c>
      <c r="N164" s="981">
        <v>2.15</v>
      </c>
      <c r="O164" s="981">
        <v>1.4059999999999999</v>
      </c>
    </row>
    <row r="165" spans="1:15" x14ac:dyDescent="0.25">
      <c r="A165" s="981" t="s">
        <v>207</v>
      </c>
      <c r="B165" s="981" t="s">
        <v>32</v>
      </c>
      <c r="C165" s="981" t="s">
        <v>307</v>
      </c>
      <c r="D165" s="981">
        <v>567</v>
      </c>
      <c r="E165" s="981">
        <v>790</v>
      </c>
      <c r="F165" s="981">
        <v>1357</v>
      </c>
      <c r="G165" s="981">
        <v>888</v>
      </c>
      <c r="H165" s="981">
        <v>497</v>
      </c>
      <c r="I165" s="981">
        <v>391</v>
      </c>
      <c r="J165" s="981">
        <v>112867</v>
      </c>
      <c r="K165" s="981">
        <v>1.202</v>
      </c>
      <c r="L165" s="981">
        <v>0.78700000000000003</v>
      </c>
      <c r="M165" s="981">
        <v>107128</v>
      </c>
      <c r="N165" s="981">
        <v>1.2669999999999999</v>
      </c>
      <c r="O165" s="981">
        <v>0.82899999999999996</v>
      </c>
    </row>
    <row r="166" spans="1:15" x14ac:dyDescent="0.25">
      <c r="A166" s="981" t="s">
        <v>207</v>
      </c>
      <c r="B166" s="981" t="s">
        <v>35</v>
      </c>
      <c r="C166" s="981" t="s">
        <v>287</v>
      </c>
      <c r="D166" s="981">
        <v>354</v>
      </c>
      <c r="E166" s="981">
        <v>518</v>
      </c>
      <c r="F166" s="981">
        <v>872</v>
      </c>
      <c r="G166" s="981">
        <v>542</v>
      </c>
      <c r="H166" s="981">
        <v>391</v>
      </c>
      <c r="I166" s="981">
        <v>151</v>
      </c>
      <c r="J166" s="981">
        <v>23894</v>
      </c>
      <c r="K166" s="981">
        <v>3.649</v>
      </c>
      <c r="L166" s="981">
        <v>2.2679999999999998</v>
      </c>
      <c r="M166" s="981">
        <v>22978</v>
      </c>
      <c r="N166" s="981">
        <v>3.7949999999999999</v>
      </c>
      <c r="O166" s="981">
        <v>2.359</v>
      </c>
    </row>
    <row r="167" spans="1:15" x14ac:dyDescent="0.25">
      <c r="A167" s="981" t="s">
        <v>207</v>
      </c>
      <c r="B167" s="981" t="s">
        <v>53</v>
      </c>
      <c r="C167" s="981" t="s">
        <v>310</v>
      </c>
      <c r="D167" s="981">
        <v>1045</v>
      </c>
      <c r="E167" s="981">
        <v>832</v>
      </c>
      <c r="F167" s="981">
        <v>1877</v>
      </c>
      <c r="G167" s="981">
        <v>1726</v>
      </c>
      <c r="H167" s="981">
        <v>1240</v>
      </c>
      <c r="I167" s="981">
        <v>486</v>
      </c>
      <c r="J167" s="981">
        <v>83933</v>
      </c>
      <c r="K167" s="981">
        <v>2.2360000000000002</v>
      </c>
      <c r="L167" s="981">
        <v>2.056</v>
      </c>
      <c r="M167" s="981">
        <v>81787</v>
      </c>
      <c r="N167" s="981">
        <v>2.2949999999999999</v>
      </c>
      <c r="O167" s="981">
        <v>2.11</v>
      </c>
    </row>
    <row r="168" spans="1:15" x14ac:dyDescent="0.25">
      <c r="A168" s="981" t="s">
        <v>207</v>
      </c>
      <c r="B168" s="981" t="s">
        <v>56</v>
      </c>
      <c r="C168" s="981" t="s">
        <v>303</v>
      </c>
      <c r="D168" s="981">
        <v>601</v>
      </c>
      <c r="E168" s="981">
        <v>462</v>
      </c>
      <c r="F168" s="981">
        <v>1063</v>
      </c>
      <c r="G168" s="981">
        <v>1007</v>
      </c>
      <c r="H168" s="981">
        <v>577</v>
      </c>
      <c r="I168" s="981">
        <v>430</v>
      </c>
      <c r="J168" s="981">
        <v>54385</v>
      </c>
      <c r="K168" s="981">
        <v>1.9550000000000001</v>
      </c>
      <c r="L168" s="981">
        <v>1.8520000000000001</v>
      </c>
      <c r="M168" s="981">
        <v>51654</v>
      </c>
      <c r="N168" s="981">
        <v>2.0579999999999998</v>
      </c>
      <c r="O168" s="981">
        <v>1.95</v>
      </c>
    </row>
    <row r="169" spans="1:15" x14ac:dyDescent="0.25">
      <c r="A169" s="981" t="s">
        <v>207</v>
      </c>
      <c r="B169" s="981" t="s">
        <v>57</v>
      </c>
      <c r="C169" s="981" t="s">
        <v>304</v>
      </c>
      <c r="D169" s="981">
        <v>1230</v>
      </c>
      <c r="E169" s="981">
        <v>1647</v>
      </c>
      <c r="F169" s="981">
        <v>2877</v>
      </c>
      <c r="G169" s="981">
        <v>2059</v>
      </c>
      <c r="H169" s="981">
        <v>1474</v>
      </c>
      <c r="I169" s="981">
        <v>585</v>
      </c>
      <c r="J169" s="981">
        <v>146110</v>
      </c>
      <c r="K169" s="981">
        <v>1.9690000000000001</v>
      </c>
      <c r="L169" s="981">
        <v>1.409</v>
      </c>
      <c r="M169" s="981">
        <v>141129</v>
      </c>
      <c r="N169" s="981">
        <v>2.0390000000000001</v>
      </c>
      <c r="O169" s="981">
        <v>1.4590000000000001</v>
      </c>
    </row>
    <row r="170" spans="1:15" x14ac:dyDescent="0.25">
      <c r="A170" s="981" t="s">
        <v>207</v>
      </c>
      <c r="B170" s="981" t="s">
        <v>60</v>
      </c>
      <c r="C170" s="981" t="s">
        <v>312</v>
      </c>
      <c r="D170" s="981">
        <v>1381</v>
      </c>
      <c r="E170" s="981">
        <v>546</v>
      </c>
      <c r="F170" s="981">
        <v>1927</v>
      </c>
      <c r="G170" s="981">
        <v>2262</v>
      </c>
      <c r="H170" s="981">
        <v>1141</v>
      </c>
      <c r="I170" s="981">
        <v>1121</v>
      </c>
      <c r="J170" s="981">
        <v>76473</v>
      </c>
      <c r="K170" s="981">
        <v>2.52</v>
      </c>
      <c r="L170" s="981">
        <v>2.9580000000000002</v>
      </c>
      <c r="M170" s="981">
        <v>74335</v>
      </c>
      <c r="N170" s="981">
        <v>2.5920000000000001</v>
      </c>
      <c r="O170" s="981">
        <v>3.0430000000000001</v>
      </c>
    </row>
    <row r="171" spans="1:15" x14ac:dyDescent="0.25">
      <c r="A171" s="981" t="s">
        <v>206</v>
      </c>
      <c r="B171" s="981" t="s">
        <v>32</v>
      </c>
      <c r="C171" s="981" t="s">
        <v>307</v>
      </c>
      <c r="D171" s="981">
        <v>617</v>
      </c>
      <c r="E171" s="981">
        <v>831</v>
      </c>
      <c r="F171" s="981">
        <v>1448</v>
      </c>
      <c r="G171" s="981">
        <v>1003</v>
      </c>
      <c r="H171" s="981">
        <v>609</v>
      </c>
      <c r="I171" s="981">
        <v>394</v>
      </c>
      <c r="J171" s="981">
        <v>114086</v>
      </c>
      <c r="K171" s="981">
        <v>1.2689999999999999</v>
      </c>
      <c r="L171" s="981">
        <v>0.879</v>
      </c>
      <c r="M171" s="981">
        <v>108381</v>
      </c>
      <c r="N171" s="981">
        <v>1.3360000000000001</v>
      </c>
      <c r="O171" s="981">
        <v>0.92500000000000004</v>
      </c>
    </row>
    <row r="172" spans="1:15" x14ac:dyDescent="0.25">
      <c r="A172" s="981" t="s">
        <v>206</v>
      </c>
      <c r="B172" s="981" t="s">
        <v>34</v>
      </c>
      <c r="C172" s="981" t="s">
        <v>308</v>
      </c>
      <c r="D172" s="981">
        <v>498</v>
      </c>
      <c r="E172" s="981">
        <v>680</v>
      </c>
      <c r="F172" s="981">
        <v>1178</v>
      </c>
      <c r="G172" s="981">
        <v>826</v>
      </c>
      <c r="H172" s="981">
        <v>412</v>
      </c>
      <c r="I172" s="981">
        <v>414</v>
      </c>
      <c r="J172" s="981">
        <v>47500</v>
      </c>
      <c r="K172" s="981">
        <v>2.48</v>
      </c>
      <c r="L172" s="981">
        <v>1.7390000000000001</v>
      </c>
      <c r="M172" s="981">
        <v>40857</v>
      </c>
      <c r="N172" s="981">
        <v>2.883</v>
      </c>
      <c r="O172" s="981">
        <v>2.0219999999999998</v>
      </c>
    </row>
    <row r="173" spans="1:15" x14ac:dyDescent="0.25">
      <c r="A173" s="981" t="s">
        <v>206</v>
      </c>
      <c r="B173" s="981" t="s">
        <v>38</v>
      </c>
      <c r="C173" s="981" t="s">
        <v>289</v>
      </c>
      <c r="D173" s="981">
        <v>467</v>
      </c>
      <c r="E173" s="981">
        <v>837</v>
      </c>
      <c r="F173" s="981">
        <v>1304</v>
      </c>
      <c r="G173" s="981">
        <v>762</v>
      </c>
      <c r="H173" s="981">
        <v>506</v>
      </c>
      <c r="I173" s="981">
        <v>256</v>
      </c>
      <c r="J173" s="981">
        <v>57324</v>
      </c>
      <c r="K173" s="981">
        <v>2.2749999999999999</v>
      </c>
      <c r="L173" s="981">
        <v>1.329</v>
      </c>
      <c r="M173" s="981">
        <v>54401</v>
      </c>
      <c r="N173" s="981">
        <v>2.3969999999999998</v>
      </c>
      <c r="O173" s="981">
        <v>1.401</v>
      </c>
    </row>
    <row r="174" spans="1:15" x14ac:dyDescent="0.25">
      <c r="A174" s="981" t="s">
        <v>206</v>
      </c>
      <c r="B174" s="981" t="s">
        <v>46</v>
      </c>
      <c r="C174" s="981" t="s">
        <v>296</v>
      </c>
      <c r="D174" s="981">
        <v>479</v>
      </c>
      <c r="E174" s="981">
        <v>491</v>
      </c>
      <c r="F174" s="981">
        <v>970</v>
      </c>
      <c r="G174" s="981">
        <v>737</v>
      </c>
      <c r="H174" s="981">
        <v>465</v>
      </c>
      <c r="I174" s="981">
        <v>272</v>
      </c>
      <c r="J174" s="981">
        <v>38159</v>
      </c>
      <c r="K174" s="981">
        <v>2.5419999999999998</v>
      </c>
      <c r="L174" s="981">
        <v>1.931</v>
      </c>
      <c r="M174" s="981">
        <v>36602</v>
      </c>
      <c r="N174" s="981">
        <v>2.65</v>
      </c>
      <c r="O174" s="981">
        <v>2.0139999999999998</v>
      </c>
    </row>
    <row r="175" spans="1:15" x14ac:dyDescent="0.25">
      <c r="A175" s="981" t="s">
        <v>206</v>
      </c>
      <c r="B175" s="981" t="s">
        <v>49</v>
      </c>
      <c r="C175" s="981" t="s">
        <v>298</v>
      </c>
      <c r="D175" s="981">
        <v>901</v>
      </c>
      <c r="E175" s="981">
        <v>964</v>
      </c>
      <c r="F175" s="981">
        <v>1865</v>
      </c>
      <c r="G175" s="981">
        <v>1483</v>
      </c>
      <c r="H175" s="981">
        <v>932</v>
      </c>
      <c r="I175" s="981">
        <v>551</v>
      </c>
      <c r="J175" s="981">
        <v>67204</v>
      </c>
      <c r="K175" s="981">
        <v>2.7749999999999999</v>
      </c>
      <c r="L175" s="981">
        <v>2.2069999999999999</v>
      </c>
      <c r="M175" s="981">
        <v>62802</v>
      </c>
      <c r="N175" s="981">
        <v>2.97</v>
      </c>
      <c r="O175" s="981">
        <v>2.3610000000000002</v>
      </c>
    </row>
    <row r="176" spans="1:15" x14ac:dyDescent="0.25">
      <c r="A176" s="981" t="s">
        <v>206</v>
      </c>
      <c r="B176" s="981" t="s">
        <v>56</v>
      </c>
      <c r="C176" s="981" t="s">
        <v>303</v>
      </c>
      <c r="D176" s="981">
        <v>608</v>
      </c>
      <c r="E176" s="981">
        <v>517</v>
      </c>
      <c r="F176" s="981">
        <v>1125</v>
      </c>
      <c r="G176" s="981">
        <v>1033</v>
      </c>
      <c r="H176" s="981">
        <v>715</v>
      </c>
      <c r="I176" s="981">
        <v>318</v>
      </c>
      <c r="J176" s="981">
        <v>54489</v>
      </c>
      <c r="K176" s="981">
        <v>2.0649999999999999</v>
      </c>
      <c r="L176" s="981">
        <v>1.8959999999999999</v>
      </c>
      <c r="M176" s="981">
        <v>51874</v>
      </c>
      <c r="N176" s="981">
        <v>2.169</v>
      </c>
      <c r="O176" s="981">
        <v>1.9910000000000001</v>
      </c>
    </row>
    <row r="177" spans="1:15" x14ac:dyDescent="0.25">
      <c r="A177" s="981" t="s">
        <v>206</v>
      </c>
      <c r="B177" s="981" t="s">
        <v>57</v>
      </c>
      <c r="C177" s="981" t="s">
        <v>304</v>
      </c>
      <c r="D177" s="981">
        <v>1155</v>
      </c>
      <c r="E177" s="981">
        <v>1979</v>
      </c>
      <c r="F177" s="981">
        <v>3134</v>
      </c>
      <c r="G177" s="981">
        <v>1884</v>
      </c>
      <c r="H177" s="981">
        <v>1410</v>
      </c>
      <c r="I177" s="981">
        <v>474</v>
      </c>
      <c r="J177" s="981">
        <v>146925</v>
      </c>
      <c r="K177" s="981">
        <v>2.133</v>
      </c>
      <c r="L177" s="981">
        <v>1.282</v>
      </c>
      <c r="M177" s="981">
        <v>142286</v>
      </c>
      <c r="N177" s="981">
        <v>2.2029999999999998</v>
      </c>
      <c r="O177" s="981">
        <v>1.3240000000000001</v>
      </c>
    </row>
    <row r="178" spans="1:15" x14ac:dyDescent="0.25">
      <c r="A178" s="981" t="s">
        <v>206</v>
      </c>
      <c r="B178" s="981" t="s">
        <v>59</v>
      </c>
      <c r="C178" s="981" t="s">
        <v>311</v>
      </c>
      <c r="D178" s="981">
        <v>402</v>
      </c>
      <c r="E178" s="981">
        <v>519</v>
      </c>
      <c r="F178" s="981">
        <v>921</v>
      </c>
      <c r="G178" s="981">
        <v>631</v>
      </c>
      <c r="H178" s="981">
        <v>471</v>
      </c>
      <c r="I178" s="981">
        <v>160</v>
      </c>
      <c r="J178" s="981">
        <v>44734</v>
      </c>
      <c r="K178" s="981">
        <v>2.0590000000000002</v>
      </c>
      <c r="L178" s="981">
        <v>1.411</v>
      </c>
      <c r="M178" s="981">
        <v>42353</v>
      </c>
      <c r="N178" s="981">
        <v>2.1749999999999998</v>
      </c>
      <c r="O178" s="981">
        <v>1.49</v>
      </c>
    </row>
    <row r="179" spans="1:15" x14ac:dyDescent="0.25">
      <c r="A179" s="981" t="s">
        <v>206</v>
      </c>
      <c r="B179" s="981" t="s">
        <v>60</v>
      </c>
      <c r="C179" s="981" t="s">
        <v>312</v>
      </c>
      <c r="D179" s="981">
        <v>1103</v>
      </c>
      <c r="E179" s="981">
        <v>638</v>
      </c>
      <c r="F179" s="981">
        <v>1741</v>
      </c>
      <c r="G179" s="981">
        <v>1780</v>
      </c>
      <c r="H179" s="981">
        <v>967</v>
      </c>
      <c r="I179" s="981">
        <v>813</v>
      </c>
      <c r="J179" s="981">
        <v>77186</v>
      </c>
      <c r="K179" s="981">
        <v>2.2559999999999998</v>
      </c>
      <c r="L179" s="981">
        <v>2.306</v>
      </c>
      <c r="M179" s="981">
        <v>75035</v>
      </c>
      <c r="N179" s="981">
        <v>2.3199999999999998</v>
      </c>
      <c r="O179" s="981">
        <v>2.3719999999999999</v>
      </c>
    </row>
    <row r="180" spans="1:15" x14ac:dyDescent="0.25">
      <c r="A180" s="981" t="s">
        <v>205</v>
      </c>
      <c r="B180" s="981" t="s">
        <v>42</v>
      </c>
      <c r="C180" s="981" t="s">
        <v>293</v>
      </c>
      <c r="D180" s="981">
        <v>552</v>
      </c>
      <c r="E180" s="981">
        <v>1153</v>
      </c>
      <c r="F180" s="981">
        <v>1705</v>
      </c>
      <c r="G180" s="981">
        <v>838</v>
      </c>
      <c r="H180" s="981">
        <v>631</v>
      </c>
      <c r="I180" s="981">
        <v>207</v>
      </c>
      <c r="J180" s="981">
        <v>73290</v>
      </c>
      <c r="K180" s="981">
        <v>2.3260000000000001</v>
      </c>
      <c r="L180" s="981">
        <v>1.143</v>
      </c>
      <c r="M180" s="981">
        <v>70431</v>
      </c>
      <c r="N180" s="981">
        <v>2.4209999999999998</v>
      </c>
      <c r="O180" s="981">
        <v>1.19</v>
      </c>
    </row>
    <row r="181" spans="1:15" x14ac:dyDescent="0.25">
      <c r="A181" s="981" t="s">
        <v>205</v>
      </c>
      <c r="B181" s="981" t="s">
        <v>43</v>
      </c>
      <c r="C181" s="981" t="s">
        <v>441</v>
      </c>
      <c r="D181" s="981">
        <v>3204</v>
      </c>
      <c r="E181" s="981">
        <v>3874</v>
      </c>
      <c r="F181" s="981">
        <v>7078</v>
      </c>
      <c r="G181" s="981">
        <v>5034</v>
      </c>
      <c r="H181" s="981">
        <v>3231</v>
      </c>
      <c r="I181" s="981">
        <v>1803</v>
      </c>
      <c r="J181" s="981">
        <v>173366</v>
      </c>
      <c r="K181" s="981">
        <v>4.0830000000000002</v>
      </c>
      <c r="L181" s="981">
        <v>2.9039999999999999</v>
      </c>
      <c r="M181" s="981">
        <v>164705</v>
      </c>
      <c r="N181" s="981">
        <v>4.2969999999999997</v>
      </c>
      <c r="O181" s="981">
        <v>3.056</v>
      </c>
    </row>
    <row r="182" spans="1:15" x14ac:dyDescent="0.25">
      <c r="A182" s="981" t="s">
        <v>205</v>
      </c>
      <c r="B182" s="981" t="s">
        <v>124</v>
      </c>
      <c r="C182" s="981" t="s">
        <v>317</v>
      </c>
      <c r="D182" s="981">
        <v>2649</v>
      </c>
      <c r="E182" s="981">
        <v>3737</v>
      </c>
      <c r="F182" s="981">
        <v>6386</v>
      </c>
      <c r="G182" s="981">
        <v>3820</v>
      </c>
      <c r="H182" s="981">
        <v>2864</v>
      </c>
      <c r="I182" s="981">
        <v>956</v>
      </c>
      <c r="J182" s="981">
        <v>304013</v>
      </c>
      <c r="K182" s="981">
        <v>2.101</v>
      </c>
      <c r="L182" s="981">
        <v>1.2569999999999999</v>
      </c>
      <c r="M182" s="981">
        <v>287862</v>
      </c>
      <c r="N182" s="981">
        <v>2.218</v>
      </c>
      <c r="O182" s="981">
        <v>1.327</v>
      </c>
    </row>
    <row r="183" spans="1:15" x14ac:dyDescent="0.25">
      <c r="A183" s="981" t="s">
        <v>205</v>
      </c>
      <c r="B183" s="981" t="s">
        <v>45</v>
      </c>
      <c r="C183" s="981" t="s">
        <v>295</v>
      </c>
      <c r="D183" s="981">
        <v>758</v>
      </c>
      <c r="E183" s="981">
        <v>936</v>
      </c>
      <c r="F183" s="981">
        <v>1694</v>
      </c>
      <c r="G183" s="981">
        <v>1081</v>
      </c>
      <c r="H183" s="981">
        <v>685</v>
      </c>
      <c r="I183" s="981">
        <v>396</v>
      </c>
      <c r="J183" s="981">
        <v>38787</v>
      </c>
      <c r="K183" s="981">
        <v>4.367</v>
      </c>
      <c r="L183" s="981">
        <v>2.7869999999999999</v>
      </c>
      <c r="M183" s="981">
        <v>37426</v>
      </c>
      <c r="N183" s="981">
        <v>4.5259999999999998</v>
      </c>
      <c r="O183" s="981">
        <v>2.8879999999999999</v>
      </c>
    </row>
    <row r="184" spans="1:15" x14ac:dyDescent="0.25">
      <c r="A184" s="981" t="s">
        <v>205</v>
      </c>
      <c r="B184" s="981" t="s">
        <v>50</v>
      </c>
      <c r="C184" s="981" t="s">
        <v>315</v>
      </c>
      <c r="D184" s="981">
        <v>1654</v>
      </c>
      <c r="E184" s="981">
        <v>2505</v>
      </c>
      <c r="F184" s="981">
        <v>4159</v>
      </c>
      <c r="G184" s="981">
        <v>2755</v>
      </c>
      <c r="H184" s="981">
        <v>2213</v>
      </c>
      <c r="I184" s="981">
        <v>542</v>
      </c>
      <c r="J184" s="981">
        <v>152293</v>
      </c>
      <c r="K184" s="981">
        <v>2.7309999999999999</v>
      </c>
      <c r="L184" s="981">
        <v>1.8089999999999999</v>
      </c>
      <c r="M184" s="981">
        <v>149282</v>
      </c>
      <c r="N184" s="981">
        <v>2.786</v>
      </c>
      <c r="O184" s="981">
        <v>1.8460000000000001</v>
      </c>
    </row>
    <row r="185" spans="1:15" x14ac:dyDescent="0.25">
      <c r="A185" s="981" t="s">
        <v>278</v>
      </c>
      <c r="B185" s="981" t="s">
        <v>44</v>
      </c>
      <c r="C185" s="981" t="s">
        <v>294</v>
      </c>
      <c r="D185" s="981">
        <v>1215</v>
      </c>
      <c r="E185" s="981">
        <v>3439</v>
      </c>
      <c r="F185" s="981">
        <v>4654</v>
      </c>
      <c r="G185" s="981">
        <v>1906</v>
      </c>
      <c r="H185" s="981">
        <v>1204</v>
      </c>
      <c r="I185" s="981">
        <v>702</v>
      </c>
      <c r="J185" s="981">
        <v>116453</v>
      </c>
      <c r="K185" s="981">
        <v>3.996</v>
      </c>
      <c r="L185" s="981">
        <v>1.637</v>
      </c>
      <c r="M185" s="981">
        <v>107573</v>
      </c>
      <c r="N185" s="981">
        <v>4.3259999999999996</v>
      </c>
      <c r="O185" s="981">
        <v>1.772</v>
      </c>
    </row>
    <row r="186" spans="1:15" x14ac:dyDescent="0.25">
      <c r="A186" s="981" t="s">
        <v>278</v>
      </c>
      <c r="B186" s="981" t="s">
        <v>47</v>
      </c>
      <c r="C186" s="981" t="s">
        <v>297</v>
      </c>
      <c r="D186" s="981">
        <v>768</v>
      </c>
      <c r="E186" s="981">
        <v>1016</v>
      </c>
      <c r="F186" s="981">
        <v>1784</v>
      </c>
      <c r="G186" s="981">
        <v>1356</v>
      </c>
      <c r="H186" s="981">
        <v>709</v>
      </c>
      <c r="I186" s="981">
        <v>647</v>
      </c>
      <c r="J186" s="981">
        <v>44454</v>
      </c>
      <c r="K186" s="981">
        <v>4.0129999999999999</v>
      </c>
      <c r="L186" s="981">
        <v>3.05</v>
      </c>
      <c r="M186" s="981">
        <v>41961</v>
      </c>
      <c r="N186" s="981">
        <v>4.2519999999999998</v>
      </c>
      <c r="O186" s="981">
        <v>3.2320000000000002</v>
      </c>
    </row>
    <row r="187" spans="1:15" x14ac:dyDescent="0.25">
      <c r="A187" s="981" t="s">
        <v>259</v>
      </c>
      <c r="B187" s="981" t="s">
        <v>31</v>
      </c>
      <c r="C187" s="981" t="s">
        <v>306</v>
      </c>
      <c r="D187" s="981">
        <v>478</v>
      </c>
      <c r="E187" s="981">
        <v>1669</v>
      </c>
      <c r="F187" s="981">
        <v>2147</v>
      </c>
      <c r="G187" s="981">
        <v>692</v>
      </c>
      <c r="H187" s="981">
        <v>432</v>
      </c>
      <c r="I187" s="981">
        <v>260</v>
      </c>
      <c r="J187" s="981">
        <v>116821</v>
      </c>
      <c r="K187" s="981">
        <v>1.8380000000000001</v>
      </c>
      <c r="L187" s="981">
        <v>0.59199999999999997</v>
      </c>
      <c r="M187" s="981">
        <v>106802</v>
      </c>
      <c r="N187" s="981">
        <v>2.0099999999999998</v>
      </c>
      <c r="O187" s="981">
        <v>0.64800000000000002</v>
      </c>
    </row>
    <row r="188" spans="1:15" x14ac:dyDescent="0.25">
      <c r="A188" s="981" t="s">
        <v>259</v>
      </c>
      <c r="B188" s="981" t="s">
        <v>44</v>
      </c>
      <c r="C188" s="981" t="s">
        <v>294</v>
      </c>
      <c r="D188" s="981">
        <v>1288</v>
      </c>
      <c r="E188" s="981">
        <v>3926</v>
      </c>
      <c r="F188" s="981">
        <v>5214</v>
      </c>
      <c r="G188" s="981">
        <v>2127</v>
      </c>
      <c r="H188" s="981">
        <v>1385</v>
      </c>
      <c r="I188" s="981">
        <v>742</v>
      </c>
      <c r="J188" s="981">
        <v>117291</v>
      </c>
      <c r="K188" s="981">
        <v>4.4450000000000003</v>
      </c>
      <c r="L188" s="981">
        <v>1.8129999999999999</v>
      </c>
      <c r="M188" s="981">
        <v>108319</v>
      </c>
      <c r="N188" s="981">
        <v>4.8140000000000001</v>
      </c>
      <c r="O188" s="981">
        <v>1.964</v>
      </c>
    </row>
    <row r="189" spans="1:15" x14ac:dyDescent="0.25">
      <c r="A189" s="981" t="s">
        <v>259</v>
      </c>
      <c r="B189" s="981" t="s">
        <v>52</v>
      </c>
      <c r="C189" s="981" t="s">
        <v>300</v>
      </c>
      <c r="D189" s="981">
        <v>484</v>
      </c>
      <c r="E189" s="981">
        <v>1014</v>
      </c>
      <c r="F189" s="981">
        <v>1498</v>
      </c>
      <c r="G189" s="981">
        <v>716</v>
      </c>
      <c r="H189" s="981">
        <v>451</v>
      </c>
      <c r="I189" s="981">
        <v>265</v>
      </c>
      <c r="J189" s="981">
        <v>71810</v>
      </c>
      <c r="K189" s="981">
        <v>2.0859999999999999</v>
      </c>
      <c r="L189" s="981">
        <v>0.997</v>
      </c>
      <c r="M189" s="981">
        <v>67618</v>
      </c>
      <c r="N189" s="981">
        <v>2.2149999999999999</v>
      </c>
      <c r="O189" s="981">
        <v>1.0589999999999999</v>
      </c>
    </row>
    <row r="190" spans="1:15" x14ac:dyDescent="0.25">
      <c r="A190" s="981" t="s">
        <v>258</v>
      </c>
      <c r="B190" s="981" t="s">
        <v>34</v>
      </c>
      <c r="C190" s="981" t="s">
        <v>308</v>
      </c>
      <c r="D190" s="981">
        <v>531</v>
      </c>
      <c r="E190" s="981">
        <v>939</v>
      </c>
      <c r="F190" s="981">
        <v>1470</v>
      </c>
      <c r="G190" s="981">
        <v>831</v>
      </c>
      <c r="H190" s="981">
        <v>480</v>
      </c>
      <c r="I190" s="981">
        <v>351</v>
      </c>
      <c r="J190" s="981">
        <v>48020</v>
      </c>
      <c r="K190" s="981">
        <v>3.0609999999999999</v>
      </c>
      <c r="L190" s="981">
        <v>1.7310000000000001</v>
      </c>
      <c r="M190" s="981">
        <v>41630</v>
      </c>
      <c r="N190" s="981">
        <v>3.5310000000000001</v>
      </c>
      <c r="O190" s="981">
        <v>1.996</v>
      </c>
    </row>
    <row r="191" spans="1:15" x14ac:dyDescent="0.25">
      <c r="A191" s="981" t="s">
        <v>258</v>
      </c>
      <c r="B191" s="981" t="s">
        <v>36</v>
      </c>
      <c r="C191" s="981" t="s">
        <v>288</v>
      </c>
      <c r="D191" s="981">
        <v>1023</v>
      </c>
      <c r="E191" s="981">
        <v>726</v>
      </c>
      <c r="F191" s="981">
        <v>1749</v>
      </c>
      <c r="G191" s="981">
        <v>1547</v>
      </c>
      <c r="H191" s="981">
        <v>1100</v>
      </c>
      <c r="I191" s="981">
        <v>447</v>
      </c>
      <c r="J191" s="981">
        <v>74823</v>
      </c>
      <c r="K191" s="981">
        <v>2.3380000000000001</v>
      </c>
      <c r="L191" s="981">
        <v>2.0680000000000001</v>
      </c>
      <c r="M191" s="981">
        <v>69586</v>
      </c>
      <c r="N191" s="981">
        <v>2.5129999999999999</v>
      </c>
      <c r="O191" s="981">
        <v>2.2229999999999999</v>
      </c>
    </row>
    <row r="192" spans="1:15" x14ac:dyDescent="0.25">
      <c r="A192" s="981" t="s">
        <v>258</v>
      </c>
      <c r="B192" s="981" t="s">
        <v>42</v>
      </c>
      <c r="C192" s="981" t="s">
        <v>293</v>
      </c>
      <c r="D192" s="981">
        <v>533</v>
      </c>
      <c r="E192" s="981">
        <v>1326</v>
      </c>
      <c r="F192" s="981">
        <v>1859</v>
      </c>
      <c r="G192" s="981">
        <v>798</v>
      </c>
      <c r="H192" s="981">
        <v>606</v>
      </c>
      <c r="I192" s="981">
        <v>192</v>
      </c>
      <c r="J192" s="981">
        <v>74826</v>
      </c>
      <c r="K192" s="981">
        <v>2.484</v>
      </c>
      <c r="L192" s="981">
        <v>1.0660000000000001</v>
      </c>
      <c r="M192" s="981">
        <v>72267</v>
      </c>
      <c r="N192" s="981">
        <v>2.5720000000000001</v>
      </c>
      <c r="O192" s="981">
        <v>1.1040000000000001</v>
      </c>
    </row>
    <row r="193" spans="1:15" x14ac:dyDescent="0.25">
      <c r="A193" s="981" t="s">
        <v>258</v>
      </c>
      <c r="B193" s="981" t="s">
        <v>43</v>
      </c>
      <c r="C193" s="981" t="s">
        <v>441</v>
      </c>
      <c r="D193" s="981">
        <v>2778</v>
      </c>
      <c r="E193" s="981">
        <v>3429</v>
      </c>
      <c r="F193" s="981">
        <v>6207</v>
      </c>
      <c r="G193" s="981">
        <v>4403</v>
      </c>
      <c r="H193" s="981">
        <v>2925</v>
      </c>
      <c r="I193" s="981">
        <v>1478</v>
      </c>
      <c r="J193" s="981">
        <v>177084</v>
      </c>
      <c r="K193" s="981">
        <v>3.5049999999999999</v>
      </c>
      <c r="L193" s="981">
        <v>2.4860000000000002</v>
      </c>
      <c r="M193" s="981">
        <v>167944</v>
      </c>
      <c r="N193" s="981">
        <v>3.6960000000000002</v>
      </c>
      <c r="O193" s="981">
        <v>2.6219999999999999</v>
      </c>
    </row>
    <row r="194" spans="1:15" x14ac:dyDescent="0.25">
      <c r="A194" s="981" t="s">
        <v>258</v>
      </c>
      <c r="B194" s="981" t="s">
        <v>124</v>
      </c>
      <c r="C194" s="981" t="s">
        <v>317</v>
      </c>
      <c r="D194" s="981">
        <v>2992</v>
      </c>
      <c r="E194" s="981">
        <v>7063</v>
      </c>
      <c r="F194" s="981">
        <v>10055</v>
      </c>
      <c r="G194" s="981">
        <v>4152</v>
      </c>
      <c r="H194" s="981">
        <v>3266</v>
      </c>
      <c r="I194" s="981">
        <v>886</v>
      </c>
      <c r="J194" s="981">
        <v>311447</v>
      </c>
      <c r="K194" s="981">
        <v>3.2280000000000002</v>
      </c>
      <c r="L194" s="981">
        <v>1.333</v>
      </c>
      <c r="M194" s="981">
        <v>292619</v>
      </c>
      <c r="N194" s="981">
        <v>3.4359999999999999</v>
      </c>
      <c r="O194" s="981">
        <v>1.419</v>
      </c>
    </row>
    <row r="195" spans="1:15" x14ac:dyDescent="0.25">
      <c r="A195" s="981" t="s">
        <v>258</v>
      </c>
      <c r="B195" s="981" t="s">
        <v>45</v>
      </c>
      <c r="C195" s="981" t="s">
        <v>295</v>
      </c>
      <c r="D195" s="981">
        <v>634</v>
      </c>
      <c r="E195" s="981">
        <v>895</v>
      </c>
      <c r="F195" s="981">
        <v>1529</v>
      </c>
      <c r="G195" s="981">
        <v>933</v>
      </c>
      <c r="H195" s="981">
        <v>575</v>
      </c>
      <c r="I195" s="981">
        <v>358</v>
      </c>
      <c r="J195" s="981">
        <v>38985</v>
      </c>
      <c r="K195" s="981">
        <v>3.9220000000000002</v>
      </c>
      <c r="L195" s="981">
        <v>2.3929999999999998</v>
      </c>
      <c r="M195" s="981">
        <v>37640</v>
      </c>
      <c r="N195" s="981">
        <v>4.0620000000000003</v>
      </c>
      <c r="O195" s="981">
        <v>2.4790000000000001</v>
      </c>
    </row>
    <row r="196" spans="1:15" x14ac:dyDescent="0.25">
      <c r="A196" s="981" t="s">
        <v>258</v>
      </c>
      <c r="B196" s="981" t="s">
        <v>50</v>
      </c>
      <c r="C196" s="981" t="s">
        <v>315</v>
      </c>
      <c r="D196" s="981">
        <v>1247</v>
      </c>
      <c r="E196" s="981">
        <v>2019</v>
      </c>
      <c r="F196" s="981">
        <v>3266</v>
      </c>
      <c r="G196" s="981">
        <v>2041</v>
      </c>
      <c r="H196" s="981">
        <v>1613</v>
      </c>
      <c r="I196" s="981">
        <v>428</v>
      </c>
      <c r="J196" s="981">
        <v>155364</v>
      </c>
      <c r="K196" s="981">
        <v>2.1019999999999999</v>
      </c>
      <c r="L196" s="981">
        <v>1.3140000000000001</v>
      </c>
      <c r="M196" s="981">
        <v>151744</v>
      </c>
      <c r="N196" s="981">
        <v>2.1520000000000001</v>
      </c>
      <c r="O196" s="981">
        <v>1.345</v>
      </c>
    </row>
  </sheetData>
  <pageMargins left="0.7" right="0.7" top="0.75" bottom="0.75" header="0.3" footer="0.3"/>
  <pageSetup paperSize="9" fitToHeight="50"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4:C196"/>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3" x14ac:dyDescent="0.25">
      <c r="A4" s="980" t="s">
        <v>334</v>
      </c>
      <c r="B4" s="980" t="s">
        <v>883</v>
      </c>
      <c r="C4" s="980" t="s">
        <v>987</v>
      </c>
    </row>
    <row r="5" spans="1:3" x14ac:dyDescent="0.25">
      <c r="A5" s="981" t="s">
        <v>207</v>
      </c>
      <c r="B5" s="981" t="s">
        <v>37</v>
      </c>
      <c r="C5" s="981">
        <v>7373</v>
      </c>
    </row>
    <row r="6" spans="1:3" x14ac:dyDescent="0.25">
      <c r="A6" s="981" t="s">
        <v>207</v>
      </c>
      <c r="B6" s="981" t="s">
        <v>43</v>
      </c>
      <c r="C6" s="981">
        <v>6599</v>
      </c>
    </row>
    <row r="7" spans="1:3" x14ac:dyDescent="0.25">
      <c r="A7" s="981" t="s">
        <v>207</v>
      </c>
      <c r="B7" s="981" t="s">
        <v>124</v>
      </c>
      <c r="C7" s="981">
        <v>6099</v>
      </c>
    </row>
    <row r="8" spans="1:3" x14ac:dyDescent="0.25">
      <c r="A8" s="981" t="s">
        <v>207</v>
      </c>
      <c r="B8" s="981" t="s">
        <v>262</v>
      </c>
      <c r="C8" s="981">
        <v>5323</v>
      </c>
    </row>
    <row r="9" spans="1:3" x14ac:dyDescent="0.25">
      <c r="A9" s="981" t="s">
        <v>207</v>
      </c>
      <c r="B9" s="981" t="s">
        <v>52</v>
      </c>
      <c r="C9" s="981">
        <v>4370</v>
      </c>
    </row>
    <row r="10" spans="1:3" x14ac:dyDescent="0.25">
      <c r="A10" s="981" t="s">
        <v>207</v>
      </c>
      <c r="B10" s="981" t="s">
        <v>44</v>
      </c>
      <c r="C10" s="981">
        <v>3834</v>
      </c>
    </row>
    <row r="11" spans="1:3" x14ac:dyDescent="0.25">
      <c r="A11" s="981" t="s">
        <v>207</v>
      </c>
      <c r="B11" s="981" t="s">
        <v>33</v>
      </c>
      <c r="C11" s="981">
        <v>3679</v>
      </c>
    </row>
    <row r="12" spans="1:3" x14ac:dyDescent="0.25">
      <c r="A12" s="981" t="s">
        <v>207</v>
      </c>
      <c r="B12" s="981" t="s">
        <v>57</v>
      </c>
      <c r="C12" s="981">
        <v>2877</v>
      </c>
    </row>
    <row r="13" spans="1:3" x14ac:dyDescent="0.25">
      <c r="A13" s="981" t="s">
        <v>207</v>
      </c>
      <c r="B13" s="981" t="s">
        <v>50</v>
      </c>
      <c r="C13" s="981">
        <v>2833</v>
      </c>
    </row>
    <row r="14" spans="1:3" x14ac:dyDescent="0.25">
      <c r="A14" s="981" t="s">
        <v>207</v>
      </c>
      <c r="B14" s="981" t="s">
        <v>54</v>
      </c>
      <c r="C14" s="981">
        <v>2599</v>
      </c>
    </row>
    <row r="15" spans="1:3" x14ac:dyDescent="0.25">
      <c r="A15" s="981" t="s">
        <v>207</v>
      </c>
      <c r="B15" s="981" t="s">
        <v>31</v>
      </c>
      <c r="C15" s="981">
        <v>2390</v>
      </c>
    </row>
    <row r="16" spans="1:3" x14ac:dyDescent="0.25">
      <c r="A16" s="981" t="s">
        <v>207</v>
      </c>
      <c r="B16" s="981" t="s">
        <v>60</v>
      </c>
      <c r="C16" s="981">
        <v>1927</v>
      </c>
    </row>
    <row r="17" spans="1:3" x14ac:dyDescent="0.25">
      <c r="A17" s="981" t="s">
        <v>207</v>
      </c>
      <c r="B17" s="981" t="s">
        <v>53</v>
      </c>
      <c r="C17" s="981">
        <v>1877</v>
      </c>
    </row>
    <row r="18" spans="1:3" x14ac:dyDescent="0.25">
      <c r="A18" s="981" t="s">
        <v>207</v>
      </c>
      <c r="B18" s="981" t="s">
        <v>38</v>
      </c>
      <c r="C18" s="981">
        <v>1826</v>
      </c>
    </row>
    <row r="19" spans="1:3" x14ac:dyDescent="0.25">
      <c r="A19" s="981" t="s">
        <v>207</v>
      </c>
      <c r="B19" s="981" t="s">
        <v>42</v>
      </c>
      <c r="C19" s="981">
        <v>1721</v>
      </c>
    </row>
    <row r="20" spans="1:3" x14ac:dyDescent="0.25">
      <c r="A20" s="981" t="s">
        <v>207</v>
      </c>
      <c r="B20" s="981" t="s">
        <v>49</v>
      </c>
      <c r="C20" s="981">
        <v>1618</v>
      </c>
    </row>
    <row r="21" spans="1:3" x14ac:dyDescent="0.25">
      <c r="A21" s="981" t="s">
        <v>207</v>
      </c>
      <c r="B21" s="981" t="s">
        <v>36</v>
      </c>
      <c r="C21" s="981">
        <v>1456</v>
      </c>
    </row>
    <row r="22" spans="1:3" x14ac:dyDescent="0.25">
      <c r="A22" s="981" t="s">
        <v>207</v>
      </c>
      <c r="B22" s="981" t="s">
        <v>32</v>
      </c>
      <c r="C22" s="981">
        <v>1357</v>
      </c>
    </row>
    <row r="23" spans="1:3" x14ac:dyDescent="0.25">
      <c r="A23" s="981" t="s">
        <v>207</v>
      </c>
      <c r="B23" s="981" t="s">
        <v>45</v>
      </c>
      <c r="C23" s="981">
        <v>1244</v>
      </c>
    </row>
    <row r="24" spans="1:3" x14ac:dyDescent="0.25">
      <c r="A24" s="981" t="s">
        <v>207</v>
      </c>
      <c r="B24" s="981" t="s">
        <v>56</v>
      </c>
      <c r="C24" s="981">
        <v>1063</v>
      </c>
    </row>
    <row r="25" spans="1:3" x14ac:dyDescent="0.25">
      <c r="A25" s="981" t="s">
        <v>207</v>
      </c>
      <c r="B25" s="981" t="s">
        <v>40</v>
      </c>
      <c r="C25" s="981">
        <v>1015</v>
      </c>
    </row>
    <row r="26" spans="1:3" x14ac:dyDescent="0.25">
      <c r="A26" s="981" t="s">
        <v>207</v>
      </c>
      <c r="B26" s="981" t="s">
        <v>34</v>
      </c>
      <c r="C26" s="981">
        <v>986</v>
      </c>
    </row>
    <row r="27" spans="1:3" x14ac:dyDescent="0.25">
      <c r="A27" s="981" t="s">
        <v>207</v>
      </c>
      <c r="B27" s="981" t="s">
        <v>46</v>
      </c>
      <c r="C27" s="981">
        <v>980</v>
      </c>
    </row>
    <row r="28" spans="1:3" x14ac:dyDescent="0.25">
      <c r="A28" s="981" t="s">
        <v>207</v>
      </c>
      <c r="B28" s="981" t="s">
        <v>41</v>
      </c>
      <c r="C28" s="981">
        <v>940</v>
      </c>
    </row>
    <row r="29" spans="1:3" x14ac:dyDescent="0.25">
      <c r="A29" s="981" t="s">
        <v>207</v>
      </c>
      <c r="B29" s="981" t="s">
        <v>59</v>
      </c>
      <c r="C29" s="981">
        <v>932</v>
      </c>
    </row>
    <row r="30" spans="1:3" x14ac:dyDescent="0.25">
      <c r="A30" s="981" t="s">
        <v>207</v>
      </c>
      <c r="B30" s="981" t="s">
        <v>58</v>
      </c>
      <c r="C30" s="981">
        <v>872</v>
      </c>
    </row>
    <row r="31" spans="1:3" x14ac:dyDescent="0.25">
      <c r="A31" s="981" t="s">
        <v>207</v>
      </c>
      <c r="B31" s="981" t="s">
        <v>35</v>
      </c>
      <c r="C31" s="981">
        <v>872</v>
      </c>
    </row>
    <row r="32" spans="1:3" x14ac:dyDescent="0.25">
      <c r="A32" s="981" t="s">
        <v>207</v>
      </c>
      <c r="B32" s="981" t="s">
        <v>39</v>
      </c>
      <c r="C32" s="981">
        <v>861</v>
      </c>
    </row>
    <row r="33" spans="1:3" x14ac:dyDescent="0.25">
      <c r="A33" s="981" t="s">
        <v>207</v>
      </c>
      <c r="B33" s="981" t="s">
        <v>47</v>
      </c>
      <c r="C33" s="981">
        <v>631</v>
      </c>
    </row>
    <row r="34" spans="1:3" x14ac:dyDescent="0.25">
      <c r="A34" s="981" t="s">
        <v>207</v>
      </c>
      <c r="B34" s="981" t="s">
        <v>48</v>
      </c>
      <c r="C34" s="981">
        <v>349</v>
      </c>
    </row>
    <row r="35" spans="1:3" x14ac:dyDescent="0.25">
      <c r="A35" s="981" t="s">
        <v>207</v>
      </c>
      <c r="B35" s="981" t="s">
        <v>55</v>
      </c>
      <c r="C35" s="981">
        <v>291</v>
      </c>
    </row>
    <row r="36" spans="1:3" x14ac:dyDescent="0.25">
      <c r="A36" s="981" t="s">
        <v>207</v>
      </c>
      <c r="B36" s="981" t="s">
        <v>51</v>
      </c>
      <c r="C36" s="981">
        <v>265</v>
      </c>
    </row>
    <row r="37" spans="1:3" x14ac:dyDescent="0.25">
      <c r="A37" s="981" t="s">
        <v>206</v>
      </c>
      <c r="B37" s="981" t="s">
        <v>43</v>
      </c>
      <c r="C37" s="981">
        <v>6866</v>
      </c>
    </row>
    <row r="38" spans="1:3" x14ac:dyDescent="0.25">
      <c r="A38" s="981" t="s">
        <v>206</v>
      </c>
      <c r="B38" s="981" t="s">
        <v>124</v>
      </c>
      <c r="C38" s="981">
        <v>6131</v>
      </c>
    </row>
    <row r="39" spans="1:3" x14ac:dyDescent="0.25">
      <c r="A39" s="981" t="s">
        <v>206</v>
      </c>
      <c r="B39" s="981" t="s">
        <v>262</v>
      </c>
      <c r="C39" s="981">
        <v>5587</v>
      </c>
    </row>
    <row r="40" spans="1:3" x14ac:dyDescent="0.25">
      <c r="A40" s="981" t="s">
        <v>206</v>
      </c>
      <c r="B40" s="981" t="s">
        <v>37</v>
      </c>
      <c r="C40" s="981">
        <v>3726</v>
      </c>
    </row>
    <row r="41" spans="1:3" x14ac:dyDescent="0.25">
      <c r="A41" s="981" t="s">
        <v>206</v>
      </c>
      <c r="B41" s="981" t="s">
        <v>44</v>
      </c>
      <c r="C41" s="981">
        <v>3585</v>
      </c>
    </row>
    <row r="42" spans="1:3" x14ac:dyDescent="0.25">
      <c r="A42" s="981" t="s">
        <v>206</v>
      </c>
      <c r="B42" s="981" t="s">
        <v>50</v>
      </c>
      <c r="C42" s="981">
        <v>3494</v>
      </c>
    </row>
    <row r="43" spans="1:3" x14ac:dyDescent="0.25">
      <c r="A43" s="981" t="s">
        <v>206</v>
      </c>
      <c r="B43" s="981" t="s">
        <v>57</v>
      </c>
      <c r="C43" s="981">
        <v>3134</v>
      </c>
    </row>
    <row r="44" spans="1:3" x14ac:dyDescent="0.25">
      <c r="A44" s="981" t="s">
        <v>206</v>
      </c>
      <c r="B44" s="981" t="s">
        <v>31</v>
      </c>
      <c r="C44" s="981">
        <v>2475</v>
      </c>
    </row>
    <row r="45" spans="1:3" x14ac:dyDescent="0.25">
      <c r="A45" s="981" t="s">
        <v>206</v>
      </c>
      <c r="B45" s="981" t="s">
        <v>54</v>
      </c>
      <c r="C45" s="981">
        <v>2423</v>
      </c>
    </row>
    <row r="46" spans="1:3" x14ac:dyDescent="0.25">
      <c r="A46" s="981" t="s">
        <v>206</v>
      </c>
      <c r="B46" s="981" t="s">
        <v>52</v>
      </c>
      <c r="C46" s="981">
        <v>2422</v>
      </c>
    </row>
    <row r="47" spans="1:3" x14ac:dyDescent="0.25">
      <c r="A47" s="981" t="s">
        <v>206</v>
      </c>
      <c r="B47" s="981" t="s">
        <v>53</v>
      </c>
      <c r="C47" s="981">
        <v>2153</v>
      </c>
    </row>
    <row r="48" spans="1:3" x14ac:dyDescent="0.25">
      <c r="A48" s="981" t="s">
        <v>206</v>
      </c>
      <c r="B48" s="981" t="s">
        <v>49</v>
      </c>
      <c r="C48" s="981">
        <v>1865</v>
      </c>
    </row>
    <row r="49" spans="1:3" x14ac:dyDescent="0.25">
      <c r="A49" s="981" t="s">
        <v>206</v>
      </c>
      <c r="B49" s="981" t="s">
        <v>33</v>
      </c>
      <c r="C49" s="981">
        <v>1843</v>
      </c>
    </row>
    <row r="50" spans="1:3" x14ac:dyDescent="0.25">
      <c r="A50" s="981" t="s">
        <v>206</v>
      </c>
      <c r="B50" s="981" t="s">
        <v>60</v>
      </c>
      <c r="C50" s="981">
        <v>1741</v>
      </c>
    </row>
    <row r="51" spans="1:3" x14ac:dyDescent="0.25">
      <c r="A51" s="981" t="s">
        <v>206</v>
      </c>
      <c r="B51" s="981" t="s">
        <v>42</v>
      </c>
      <c r="C51" s="981">
        <v>1617</v>
      </c>
    </row>
    <row r="52" spans="1:3" x14ac:dyDescent="0.25">
      <c r="A52" s="981" t="s">
        <v>206</v>
      </c>
      <c r="B52" s="981" t="s">
        <v>36</v>
      </c>
      <c r="C52" s="981">
        <v>1526</v>
      </c>
    </row>
    <row r="53" spans="1:3" x14ac:dyDescent="0.25">
      <c r="A53" s="981" t="s">
        <v>206</v>
      </c>
      <c r="B53" s="981" t="s">
        <v>32</v>
      </c>
      <c r="C53" s="981">
        <v>1448</v>
      </c>
    </row>
    <row r="54" spans="1:3" x14ac:dyDescent="0.25">
      <c r="A54" s="981" t="s">
        <v>206</v>
      </c>
      <c r="B54" s="981" t="s">
        <v>45</v>
      </c>
      <c r="C54" s="981">
        <v>1304</v>
      </c>
    </row>
    <row r="55" spans="1:3" x14ac:dyDescent="0.25">
      <c r="A55" s="981" t="s">
        <v>206</v>
      </c>
      <c r="B55" s="981" t="s">
        <v>38</v>
      </c>
      <c r="C55" s="981">
        <v>1304</v>
      </c>
    </row>
    <row r="56" spans="1:3" x14ac:dyDescent="0.25">
      <c r="A56" s="981" t="s">
        <v>206</v>
      </c>
      <c r="B56" s="981" t="s">
        <v>40</v>
      </c>
      <c r="C56" s="981">
        <v>1248</v>
      </c>
    </row>
    <row r="57" spans="1:3" x14ac:dyDescent="0.25">
      <c r="A57" s="981" t="s">
        <v>206</v>
      </c>
      <c r="B57" s="981" t="s">
        <v>41</v>
      </c>
      <c r="C57" s="981">
        <v>1235</v>
      </c>
    </row>
    <row r="58" spans="1:3" x14ac:dyDescent="0.25">
      <c r="A58" s="981" t="s">
        <v>206</v>
      </c>
      <c r="B58" s="981" t="s">
        <v>34</v>
      </c>
      <c r="C58" s="981">
        <v>1178</v>
      </c>
    </row>
    <row r="59" spans="1:3" x14ac:dyDescent="0.25">
      <c r="A59" s="981" t="s">
        <v>206</v>
      </c>
      <c r="B59" s="981" t="s">
        <v>56</v>
      </c>
      <c r="C59" s="981">
        <v>1125</v>
      </c>
    </row>
    <row r="60" spans="1:3" x14ac:dyDescent="0.25">
      <c r="A60" s="981" t="s">
        <v>206</v>
      </c>
      <c r="B60" s="981" t="s">
        <v>39</v>
      </c>
      <c r="C60" s="981">
        <v>1101</v>
      </c>
    </row>
    <row r="61" spans="1:3" x14ac:dyDescent="0.25">
      <c r="A61" s="981" t="s">
        <v>206</v>
      </c>
      <c r="B61" s="981" t="s">
        <v>58</v>
      </c>
      <c r="C61" s="981">
        <v>1019</v>
      </c>
    </row>
    <row r="62" spans="1:3" x14ac:dyDescent="0.25">
      <c r="A62" s="981" t="s">
        <v>206</v>
      </c>
      <c r="B62" s="981" t="s">
        <v>46</v>
      </c>
      <c r="C62" s="981">
        <v>970</v>
      </c>
    </row>
    <row r="63" spans="1:3" x14ac:dyDescent="0.25">
      <c r="A63" s="981" t="s">
        <v>206</v>
      </c>
      <c r="B63" s="981" t="s">
        <v>59</v>
      </c>
      <c r="C63" s="981">
        <v>921</v>
      </c>
    </row>
    <row r="64" spans="1:3" x14ac:dyDescent="0.25">
      <c r="A64" s="981" t="s">
        <v>206</v>
      </c>
      <c r="B64" s="981" t="s">
        <v>35</v>
      </c>
      <c r="C64" s="981">
        <v>784</v>
      </c>
    </row>
    <row r="65" spans="1:3" x14ac:dyDescent="0.25">
      <c r="A65" s="981" t="s">
        <v>206</v>
      </c>
      <c r="B65" s="981" t="s">
        <v>47</v>
      </c>
      <c r="C65" s="981">
        <v>728</v>
      </c>
    </row>
    <row r="66" spans="1:3" x14ac:dyDescent="0.25">
      <c r="A66" s="981" t="s">
        <v>206</v>
      </c>
      <c r="B66" s="981" t="s">
        <v>48</v>
      </c>
      <c r="C66" s="981">
        <v>292</v>
      </c>
    </row>
    <row r="67" spans="1:3" x14ac:dyDescent="0.25">
      <c r="A67" s="981" t="s">
        <v>206</v>
      </c>
      <c r="B67" s="981" t="s">
        <v>51</v>
      </c>
      <c r="C67" s="981">
        <v>248</v>
      </c>
    </row>
    <row r="68" spans="1:3" x14ac:dyDescent="0.25">
      <c r="A68" s="981" t="s">
        <v>206</v>
      </c>
      <c r="B68" s="981" t="s">
        <v>55</v>
      </c>
      <c r="C68" s="981">
        <v>223</v>
      </c>
    </row>
    <row r="69" spans="1:3" x14ac:dyDescent="0.25">
      <c r="A69" s="981" t="s">
        <v>205</v>
      </c>
      <c r="B69" s="981" t="s">
        <v>43</v>
      </c>
      <c r="C69" s="981">
        <v>7078</v>
      </c>
    </row>
    <row r="70" spans="1:3" x14ac:dyDescent="0.25">
      <c r="A70" s="981" t="s">
        <v>205</v>
      </c>
      <c r="B70" s="981" t="s">
        <v>124</v>
      </c>
      <c r="C70" s="981">
        <v>6386</v>
      </c>
    </row>
    <row r="71" spans="1:3" x14ac:dyDescent="0.25">
      <c r="A71" s="981" t="s">
        <v>205</v>
      </c>
      <c r="B71" s="981" t="s">
        <v>262</v>
      </c>
      <c r="C71" s="981">
        <v>5305</v>
      </c>
    </row>
    <row r="72" spans="1:3" x14ac:dyDescent="0.25">
      <c r="A72" s="981" t="s">
        <v>205</v>
      </c>
      <c r="B72" s="981" t="s">
        <v>37</v>
      </c>
      <c r="C72" s="981">
        <v>4351</v>
      </c>
    </row>
    <row r="73" spans="1:3" x14ac:dyDescent="0.25">
      <c r="A73" s="981" t="s">
        <v>205</v>
      </c>
      <c r="B73" s="981" t="s">
        <v>50</v>
      </c>
      <c r="C73" s="981">
        <v>4159</v>
      </c>
    </row>
    <row r="74" spans="1:3" x14ac:dyDescent="0.25">
      <c r="A74" s="981" t="s">
        <v>205</v>
      </c>
      <c r="B74" s="981" t="s">
        <v>44</v>
      </c>
      <c r="C74" s="981">
        <v>3678</v>
      </c>
    </row>
    <row r="75" spans="1:3" x14ac:dyDescent="0.25">
      <c r="A75" s="981" t="s">
        <v>205</v>
      </c>
      <c r="B75" s="981" t="s">
        <v>57</v>
      </c>
      <c r="C75" s="981">
        <v>3332</v>
      </c>
    </row>
    <row r="76" spans="1:3" x14ac:dyDescent="0.25">
      <c r="A76" s="981" t="s">
        <v>205</v>
      </c>
      <c r="B76" s="981" t="s">
        <v>31</v>
      </c>
      <c r="C76" s="981">
        <v>2646</v>
      </c>
    </row>
    <row r="77" spans="1:3" x14ac:dyDescent="0.25">
      <c r="A77" s="981" t="s">
        <v>205</v>
      </c>
      <c r="B77" s="981" t="s">
        <v>54</v>
      </c>
      <c r="C77" s="981">
        <v>2543</v>
      </c>
    </row>
    <row r="78" spans="1:3" x14ac:dyDescent="0.25">
      <c r="A78" s="981" t="s">
        <v>205</v>
      </c>
      <c r="B78" s="981" t="s">
        <v>33</v>
      </c>
      <c r="C78" s="981">
        <v>2170</v>
      </c>
    </row>
    <row r="79" spans="1:3" x14ac:dyDescent="0.25">
      <c r="A79" s="981" t="s">
        <v>205</v>
      </c>
      <c r="B79" s="981" t="s">
        <v>36</v>
      </c>
      <c r="C79" s="981">
        <v>2154</v>
      </c>
    </row>
    <row r="80" spans="1:3" x14ac:dyDescent="0.25">
      <c r="A80" s="981" t="s">
        <v>205</v>
      </c>
      <c r="B80" s="981" t="s">
        <v>49</v>
      </c>
      <c r="C80" s="981">
        <v>2069</v>
      </c>
    </row>
    <row r="81" spans="1:3" x14ac:dyDescent="0.25">
      <c r="A81" s="981" t="s">
        <v>205</v>
      </c>
      <c r="B81" s="981" t="s">
        <v>52</v>
      </c>
      <c r="C81" s="981">
        <v>1999</v>
      </c>
    </row>
    <row r="82" spans="1:3" x14ac:dyDescent="0.25">
      <c r="A82" s="981" t="s">
        <v>205</v>
      </c>
      <c r="B82" s="981" t="s">
        <v>32</v>
      </c>
      <c r="C82" s="981">
        <v>1932</v>
      </c>
    </row>
    <row r="83" spans="1:3" x14ac:dyDescent="0.25">
      <c r="A83" s="981" t="s">
        <v>205</v>
      </c>
      <c r="B83" s="981" t="s">
        <v>60</v>
      </c>
      <c r="C83" s="981">
        <v>1871</v>
      </c>
    </row>
    <row r="84" spans="1:3" x14ac:dyDescent="0.25">
      <c r="A84" s="981" t="s">
        <v>205</v>
      </c>
      <c r="B84" s="981" t="s">
        <v>53</v>
      </c>
      <c r="C84" s="981">
        <v>1738</v>
      </c>
    </row>
    <row r="85" spans="1:3" x14ac:dyDescent="0.25">
      <c r="A85" s="981" t="s">
        <v>205</v>
      </c>
      <c r="B85" s="981" t="s">
        <v>42</v>
      </c>
      <c r="C85" s="981">
        <v>1705</v>
      </c>
    </row>
    <row r="86" spans="1:3" x14ac:dyDescent="0.25">
      <c r="A86" s="981" t="s">
        <v>205</v>
      </c>
      <c r="B86" s="981" t="s">
        <v>45</v>
      </c>
      <c r="C86" s="981">
        <v>1694</v>
      </c>
    </row>
    <row r="87" spans="1:3" x14ac:dyDescent="0.25">
      <c r="A87" s="981" t="s">
        <v>205</v>
      </c>
      <c r="B87" s="981" t="s">
        <v>41</v>
      </c>
      <c r="C87" s="981">
        <v>1693</v>
      </c>
    </row>
    <row r="88" spans="1:3" x14ac:dyDescent="0.25">
      <c r="A88" s="981" t="s">
        <v>205</v>
      </c>
      <c r="B88" s="981" t="s">
        <v>34</v>
      </c>
      <c r="C88" s="981">
        <v>1647</v>
      </c>
    </row>
    <row r="89" spans="1:3" x14ac:dyDescent="0.25">
      <c r="A89" s="981" t="s">
        <v>205</v>
      </c>
      <c r="B89" s="981" t="s">
        <v>39</v>
      </c>
      <c r="C89" s="981">
        <v>1455</v>
      </c>
    </row>
    <row r="90" spans="1:3" x14ac:dyDescent="0.25">
      <c r="A90" s="981" t="s">
        <v>205</v>
      </c>
      <c r="B90" s="981" t="s">
        <v>40</v>
      </c>
      <c r="C90" s="981">
        <v>1420</v>
      </c>
    </row>
    <row r="91" spans="1:3" x14ac:dyDescent="0.25">
      <c r="A91" s="981" t="s">
        <v>205</v>
      </c>
      <c r="B91" s="981" t="s">
        <v>59</v>
      </c>
      <c r="C91" s="981">
        <v>1404</v>
      </c>
    </row>
    <row r="92" spans="1:3" x14ac:dyDescent="0.25">
      <c r="A92" s="981" t="s">
        <v>205</v>
      </c>
      <c r="B92" s="981" t="s">
        <v>56</v>
      </c>
      <c r="C92" s="981">
        <v>1388</v>
      </c>
    </row>
    <row r="93" spans="1:3" x14ac:dyDescent="0.25">
      <c r="A93" s="981" t="s">
        <v>205</v>
      </c>
      <c r="B93" s="981" t="s">
        <v>38</v>
      </c>
      <c r="C93" s="981">
        <v>1338</v>
      </c>
    </row>
    <row r="94" spans="1:3" x14ac:dyDescent="0.25">
      <c r="A94" s="981" t="s">
        <v>205</v>
      </c>
      <c r="B94" s="981" t="s">
        <v>46</v>
      </c>
      <c r="C94" s="981">
        <v>1101</v>
      </c>
    </row>
    <row r="95" spans="1:3" x14ac:dyDescent="0.25">
      <c r="A95" s="981" t="s">
        <v>205</v>
      </c>
      <c r="B95" s="981" t="s">
        <v>58</v>
      </c>
      <c r="C95" s="981">
        <v>1011</v>
      </c>
    </row>
    <row r="96" spans="1:3" x14ac:dyDescent="0.25">
      <c r="A96" s="981" t="s">
        <v>205</v>
      </c>
      <c r="B96" s="981" t="s">
        <v>47</v>
      </c>
      <c r="C96" s="981">
        <v>905</v>
      </c>
    </row>
    <row r="97" spans="1:3" x14ac:dyDescent="0.25">
      <c r="A97" s="981" t="s">
        <v>205</v>
      </c>
      <c r="B97" s="981" t="s">
        <v>35</v>
      </c>
      <c r="C97" s="981">
        <v>625</v>
      </c>
    </row>
    <row r="98" spans="1:3" x14ac:dyDescent="0.25">
      <c r="A98" s="981" t="s">
        <v>205</v>
      </c>
      <c r="B98" s="981" t="s">
        <v>51</v>
      </c>
      <c r="C98" s="981">
        <v>326</v>
      </c>
    </row>
    <row r="99" spans="1:3" x14ac:dyDescent="0.25">
      <c r="A99" s="981" t="s">
        <v>205</v>
      </c>
      <c r="B99" s="981" t="s">
        <v>48</v>
      </c>
      <c r="C99" s="981">
        <v>319</v>
      </c>
    </row>
    <row r="100" spans="1:3" x14ac:dyDescent="0.25">
      <c r="A100" s="981" t="s">
        <v>205</v>
      </c>
      <c r="B100" s="981" t="s">
        <v>55</v>
      </c>
      <c r="C100" s="981">
        <v>277</v>
      </c>
    </row>
    <row r="101" spans="1:3" x14ac:dyDescent="0.25">
      <c r="A101" s="981" t="s">
        <v>278</v>
      </c>
      <c r="B101" s="981" t="s">
        <v>43</v>
      </c>
      <c r="C101" s="981">
        <v>6455</v>
      </c>
    </row>
    <row r="102" spans="1:3" x14ac:dyDescent="0.25">
      <c r="A102" s="981" t="s">
        <v>278</v>
      </c>
      <c r="B102" s="981" t="s">
        <v>124</v>
      </c>
      <c r="C102" s="981">
        <v>5985</v>
      </c>
    </row>
    <row r="103" spans="1:3" x14ac:dyDescent="0.25">
      <c r="A103" s="981" t="s">
        <v>278</v>
      </c>
      <c r="B103" s="981" t="s">
        <v>262</v>
      </c>
      <c r="C103" s="981">
        <v>5039</v>
      </c>
    </row>
    <row r="104" spans="1:3" x14ac:dyDescent="0.25">
      <c r="A104" s="981" t="s">
        <v>278</v>
      </c>
      <c r="B104" s="981" t="s">
        <v>44</v>
      </c>
      <c r="C104" s="981">
        <v>4654</v>
      </c>
    </row>
    <row r="105" spans="1:3" x14ac:dyDescent="0.25">
      <c r="A105" s="981" t="s">
        <v>278</v>
      </c>
      <c r="B105" s="981" t="s">
        <v>37</v>
      </c>
      <c r="C105" s="981">
        <v>3924</v>
      </c>
    </row>
    <row r="106" spans="1:3" x14ac:dyDescent="0.25">
      <c r="A106" s="981" t="s">
        <v>278</v>
      </c>
      <c r="B106" s="981" t="s">
        <v>50</v>
      </c>
      <c r="C106" s="981">
        <v>3484</v>
      </c>
    </row>
    <row r="107" spans="1:3" x14ac:dyDescent="0.25">
      <c r="A107" s="981" t="s">
        <v>278</v>
      </c>
      <c r="B107" s="981" t="s">
        <v>57</v>
      </c>
      <c r="C107" s="981">
        <v>3395</v>
      </c>
    </row>
    <row r="108" spans="1:3" x14ac:dyDescent="0.25">
      <c r="A108" s="981" t="s">
        <v>278</v>
      </c>
      <c r="B108" s="981" t="s">
        <v>54</v>
      </c>
      <c r="C108" s="981">
        <v>2837</v>
      </c>
    </row>
    <row r="109" spans="1:3" x14ac:dyDescent="0.25">
      <c r="A109" s="981" t="s">
        <v>278</v>
      </c>
      <c r="B109" s="981" t="s">
        <v>32</v>
      </c>
      <c r="C109" s="981">
        <v>2334</v>
      </c>
    </row>
    <row r="110" spans="1:3" x14ac:dyDescent="0.25">
      <c r="A110" s="981" t="s">
        <v>278</v>
      </c>
      <c r="B110" s="981" t="s">
        <v>53</v>
      </c>
      <c r="C110" s="981">
        <v>2135</v>
      </c>
    </row>
    <row r="111" spans="1:3" x14ac:dyDescent="0.25">
      <c r="A111" s="981" t="s">
        <v>278</v>
      </c>
      <c r="B111" s="981" t="s">
        <v>36</v>
      </c>
      <c r="C111" s="981">
        <v>2110</v>
      </c>
    </row>
    <row r="112" spans="1:3" x14ac:dyDescent="0.25">
      <c r="A112" s="981" t="s">
        <v>278</v>
      </c>
      <c r="B112" s="981" t="s">
        <v>33</v>
      </c>
      <c r="C112" s="981">
        <v>2027</v>
      </c>
    </row>
    <row r="113" spans="1:3" x14ac:dyDescent="0.25">
      <c r="A113" s="981" t="s">
        <v>278</v>
      </c>
      <c r="B113" s="981" t="s">
        <v>52</v>
      </c>
      <c r="C113" s="981">
        <v>1963</v>
      </c>
    </row>
    <row r="114" spans="1:3" x14ac:dyDescent="0.25">
      <c r="A114" s="981" t="s">
        <v>278</v>
      </c>
      <c r="B114" s="981" t="s">
        <v>49</v>
      </c>
      <c r="C114" s="981">
        <v>1958</v>
      </c>
    </row>
    <row r="115" spans="1:3" x14ac:dyDescent="0.25">
      <c r="A115" s="981" t="s">
        <v>278</v>
      </c>
      <c r="B115" s="981" t="s">
        <v>31</v>
      </c>
      <c r="C115" s="981">
        <v>1893</v>
      </c>
    </row>
    <row r="116" spans="1:3" x14ac:dyDescent="0.25">
      <c r="A116" s="981" t="s">
        <v>278</v>
      </c>
      <c r="B116" s="981" t="s">
        <v>45</v>
      </c>
      <c r="C116" s="981">
        <v>1800</v>
      </c>
    </row>
    <row r="117" spans="1:3" x14ac:dyDescent="0.25">
      <c r="A117" s="981" t="s">
        <v>278</v>
      </c>
      <c r="B117" s="981" t="s">
        <v>47</v>
      </c>
      <c r="C117" s="981">
        <v>1784</v>
      </c>
    </row>
    <row r="118" spans="1:3" x14ac:dyDescent="0.25">
      <c r="A118" s="981" t="s">
        <v>278</v>
      </c>
      <c r="B118" s="981" t="s">
        <v>60</v>
      </c>
      <c r="C118" s="981">
        <v>1738</v>
      </c>
    </row>
    <row r="119" spans="1:3" x14ac:dyDescent="0.25">
      <c r="A119" s="981" t="s">
        <v>278</v>
      </c>
      <c r="B119" s="981" t="s">
        <v>59</v>
      </c>
      <c r="C119" s="981">
        <v>1593</v>
      </c>
    </row>
    <row r="120" spans="1:3" x14ac:dyDescent="0.25">
      <c r="A120" s="981" t="s">
        <v>278</v>
      </c>
      <c r="B120" s="981" t="s">
        <v>41</v>
      </c>
      <c r="C120" s="981">
        <v>1560</v>
      </c>
    </row>
    <row r="121" spans="1:3" x14ac:dyDescent="0.25">
      <c r="A121" s="981" t="s">
        <v>278</v>
      </c>
      <c r="B121" s="981" t="s">
        <v>34</v>
      </c>
      <c r="C121" s="981">
        <v>1555</v>
      </c>
    </row>
    <row r="122" spans="1:3" x14ac:dyDescent="0.25">
      <c r="A122" s="981" t="s">
        <v>278</v>
      </c>
      <c r="B122" s="981" t="s">
        <v>42</v>
      </c>
      <c r="C122" s="981">
        <v>1550</v>
      </c>
    </row>
    <row r="123" spans="1:3" x14ac:dyDescent="0.25">
      <c r="A123" s="981" t="s">
        <v>278</v>
      </c>
      <c r="B123" s="981" t="s">
        <v>56</v>
      </c>
      <c r="C123" s="981">
        <v>1475</v>
      </c>
    </row>
    <row r="124" spans="1:3" x14ac:dyDescent="0.25">
      <c r="A124" s="981" t="s">
        <v>278</v>
      </c>
      <c r="B124" s="981" t="s">
        <v>39</v>
      </c>
      <c r="C124" s="981">
        <v>1379</v>
      </c>
    </row>
    <row r="125" spans="1:3" x14ac:dyDescent="0.25">
      <c r="A125" s="981" t="s">
        <v>278</v>
      </c>
      <c r="B125" s="981" t="s">
        <v>38</v>
      </c>
      <c r="C125" s="981">
        <v>1258</v>
      </c>
    </row>
    <row r="126" spans="1:3" x14ac:dyDescent="0.25">
      <c r="A126" s="981" t="s">
        <v>278</v>
      </c>
      <c r="B126" s="981" t="s">
        <v>40</v>
      </c>
      <c r="C126" s="981">
        <v>1174</v>
      </c>
    </row>
    <row r="127" spans="1:3" x14ac:dyDescent="0.25">
      <c r="A127" s="981" t="s">
        <v>278</v>
      </c>
      <c r="B127" s="981" t="s">
        <v>58</v>
      </c>
      <c r="C127" s="981">
        <v>1056</v>
      </c>
    </row>
    <row r="128" spans="1:3" x14ac:dyDescent="0.25">
      <c r="A128" s="981" t="s">
        <v>278</v>
      </c>
      <c r="B128" s="981" t="s">
        <v>46</v>
      </c>
      <c r="C128" s="981">
        <v>966</v>
      </c>
    </row>
    <row r="129" spans="1:3" x14ac:dyDescent="0.25">
      <c r="A129" s="981" t="s">
        <v>278</v>
      </c>
      <c r="B129" s="981" t="s">
        <v>35</v>
      </c>
      <c r="C129" s="981">
        <v>631</v>
      </c>
    </row>
    <row r="130" spans="1:3" x14ac:dyDescent="0.25">
      <c r="A130" s="981" t="s">
        <v>278</v>
      </c>
      <c r="B130" s="981" t="s">
        <v>51</v>
      </c>
      <c r="C130" s="981">
        <v>388</v>
      </c>
    </row>
    <row r="131" spans="1:3" x14ac:dyDescent="0.25">
      <c r="A131" s="981" t="s">
        <v>278</v>
      </c>
      <c r="B131" s="981" t="s">
        <v>55</v>
      </c>
      <c r="C131" s="981">
        <v>369</v>
      </c>
    </row>
    <row r="132" spans="1:3" x14ac:dyDescent="0.25">
      <c r="A132" s="981" t="s">
        <v>278</v>
      </c>
      <c r="B132" s="981" t="s">
        <v>48</v>
      </c>
      <c r="C132" s="981">
        <v>343</v>
      </c>
    </row>
    <row r="133" spans="1:3" x14ac:dyDescent="0.25">
      <c r="A133" s="981" t="s">
        <v>259</v>
      </c>
      <c r="B133" s="981" t="s">
        <v>124</v>
      </c>
      <c r="C133" s="981">
        <v>8032</v>
      </c>
    </row>
    <row r="134" spans="1:3" x14ac:dyDescent="0.25">
      <c r="A134" s="981" t="s">
        <v>259</v>
      </c>
      <c r="B134" s="981" t="s">
        <v>43</v>
      </c>
      <c r="C134" s="981">
        <v>6540</v>
      </c>
    </row>
    <row r="135" spans="1:3" x14ac:dyDescent="0.25">
      <c r="A135" s="981" t="s">
        <v>259</v>
      </c>
      <c r="B135" s="981" t="s">
        <v>44</v>
      </c>
      <c r="C135" s="981">
        <v>5214</v>
      </c>
    </row>
    <row r="136" spans="1:3" x14ac:dyDescent="0.25">
      <c r="A136" s="981" t="s">
        <v>259</v>
      </c>
      <c r="B136" s="981" t="s">
        <v>262</v>
      </c>
      <c r="C136" s="981">
        <v>4600</v>
      </c>
    </row>
    <row r="137" spans="1:3" x14ac:dyDescent="0.25">
      <c r="A137" s="981" t="s">
        <v>259</v>
      </c>
      <c r="B137" s="981" t="s">
        <v>57</v>
      </c>
      <c r="C137" s="981">
        <v>3516</v>
      </c>
    </row>
    <row r="138" spans="1:3" x14ac:dyDescent="0.25">
      <c r="A138" s="981" t="s">
        <v>259</v>
      </c>
      <c r="B138" s="981" t="s">
        <v>50</v>
      </c>
      <c r="C138" s="981">
        <v>3317</v>
      </c>
    </row>
    <row r="139" spans="1:3" x14ac:dyDescent="0.25">
      <c r="A139" s="981" t="s">
        <v>259</v>
      </c>
      <c r="B139" s="981" t="s">
        <v>37</v>
      </c>
      <c r="C139" s="981">
        <v>2966</v>
      </c>
    </row>
    <row r="140" spans="1:3" x14ac:dyDescent="0.25">
      <c r="A140" s="981" t="s">
        <v>259</v>
      </c>
      <c r="B140" s="981" t="s">
        <v>53</v>
      </c>
      <c r="C140" s="981">
        <v>2548</v>
      </c>
    </row>
    <row r="141" spans="1:3" x14ac:dyDescent="0.25">
      <c r="A141" s="981" t="s">
        <v>259</v>
      </c>
      <c r="B141" s="981" t="s">
        <v>54</v>
      </c>
      <c r="C141" s="981">
        <v>2385</v>
      </c>
    </row>
    <row r="142" spans="1:3" x14ac:dyDescent="0.25">
      <c r="A142" s="981" t="s">
        <v>259</v>
      </c>
      <c r="B142" s="981" t="s">
        <v>31</v>
      </c>
      <c r="C142" s="981">
        <v>2147</v>
      </c>
    </row>
    <row r="143" spans="1:3" x14ac:dyDescent="0.25">
      <c r="A143" s="981" t="s">
        <v>259</v>
      </c>
      <c r="B143" s="981" t="s">
        <v>32</v>
      </c>
      <c r="C143" s="981">
        <v>2141</v>
      </c>
    </row>
    <row r="144" spans="1:3" x14ac:dyDescent="0.25">
      <c r="A144" s="981" t="s">
        <v>259</v>
      </c>
      <c r="B144" s="981" t="s">
        <v>60</v>
      </c>
      <c r="C144" s="981">
        <v>2056</v>
      </c>
    </row>
    <row r="145" spans="1:3" x14ac:dyDescent="0.25">
      <c r="A145" s="981" t="s">
        <v>259</v>
      </c>
      <c r="B145" s="981" t="s">
        <v>36</v>
      </c>
      <c r="C145" s="981">
        <v>1951</v>
      </c>
    </row>
    <row r="146" spans="1:3" x14ac:dyDescent="0.25">
      <c r="A146" s="981" t="s">
        <v>259</v>
      </c>
      <c r="B146" s="981" t="s">
        <v>49</v>
      </c>
      <c r="C146" s="981">
        <v>1737</v>
      </c>
    </row>
    <row r="147" spans="1:3" x14ac:dyDescent="0.25">
      <c r="A147" s="981" t="s">
        <v>259</v>
      </c>
      <c r="B147" s="981" t="s">
        <v>34</v>
      </c>
      <c r="C147" s="981">
        <v>1680</v>
      </c>
    </row>
    <row r="148" spans="1:3" x14ac:dyDescent="0.25">
      <c r="A148" s="981" t="s">
        <v>259</v>
      </c>
      <c r="B148" s="981" t="s">
        <v>59</v>
      </c>
      <c r="C148" s="981">
        <v>1675</v>
      </c>
    </row>
    <row r="149" spans="1:3" x14ac:dyDescent="0.25">
      <c r="A149" s="981" t="s">
        <v>259</v>
      </c>
      <c r="B149" s="981" t="s">
        <v>42</v>
      </c>
      <c r="C149" s="981">
        <v>1595</v>
      </c>
    </row>
    <row r="150" spans="1:3" x14ac:dyDescent="0.25">
      <c r="A150" s="981" t="s">
        <v>259</v>
      </c>
      <c r="B150" s="981" t="s">
        <v>33</v>
      </c>
      <c r="C150" s="981">
        <v>1590</v>
      </c>
    </row>
    <row r="151" spans="1:3" x14ac:dyDescent="0.25">
      <c r="A151" s="981" t="s">
        <v>259</v>
      </c>
      <c r="B151" s="981" t="s">
        <v>52</v>
      </c>
      <c r="C151" s="981">
        <v>1498</v>
      </c>
    </row>
    <row r="152" spans="1:3" x14ac:dyDescent="0.25">
      <c r="A152" s="981" t="s">
        <v>259</v>
      </c>
      <c r="B152" s="981" t="s">
        <v>45</v>
      </c>
      <c r="C152" s="981">
        <v>1476</v>
      </c>
    </row>
    <row r="153" spans="1:3" x14ac:dyDescent="0.25">
      <c r="A153" s="981" t="s">
        <v>259</v>
      </c>
      <c r="B153" s="981" t="s">
        <v>47</v>
      </c>
      <c r="C153" s="981">
        <v>1435</v>
      </c>
    </row>
    <row r="154" spans="1:3" x14ac:dyDescent="0.25">
      <c r="A154" s="981" t="s">
        <v>259</v>
      </c>
      <c r="B154" s="981" t="s">
        <v>39</v>
      </c>
      <c r="C154" s="981">
        <v>1405</v>
      </c>
    </row>
    <row r="155" spans="1:3" x14ac:dyDescent="0.25">
      <c r="A155" s="981" t="s">
        <v>259</v>
      </c>
      <c r="B155" s="981" t="s">
        <v>56</v>
      </c>
      <c r="C155" s="981">
        <v>1308</v>
      </c>
    </row>
    <row r="156" spans="1:3" x14ac:dyDescent="0.25">
      <c r="A156" s="981" t="s">
        <v>259</v>
      </c>
      <c r="B156" s="981" t="s">
        <v>41</v>
      </c>
      <c r="C156" s="981">
        <v>1266</v>
      </c>
    </row>
    <row r="157" spans="1:3" x14ac:dyDescent="0.25">
      <c r="A157" s="981" t="s">
        <v>259</v>
      </c>
      <c r="B157" s="981" t="s">
        <v>38</v>
      </c>
      <c r="C157" s="981">
        <v>1149</v>
      </c>
    </row>
    <row r="158" spans="1:3" x14ac:dyDescent="0.25">
      <c r="A158" s="981" t="s">
        <v>259</v>
      </c>
      <c r="B158" s="981" t="s">
        <v>40</v>
      </c>
      <c r="C158" s="981">
        <v>1034</v>
      </c>
    </row>
    <row r="159" spans="1:3" x14ac:dyDescent="0.25">
      <c r="A159" s="981" t="s">
        <v>259</v>
      </c>
      <c r="B159" s="981" t="s">
        <v>46</v>
      </c>
      <c r="C159" s="981">
        <v>998</v>
      </c>
    </row>
    <row r="160" spans="1:3" x14ac:dyDescent="0.25">
      <c r="A160" s="981" t="s">
        <v>259</v>
      </c>
      <c r="B160" s="981" t="s">
        <v>58</v>
      </c>
      <c r="C160" s="981">
        <v>960</v>
      </c>
    </row>
    <row r="161" spans="1:3" x14ac:dyDescent="0.25">
      <c r="A161" s="981" t="s">
        <v>259</v>
      </c>
      <c r="B161" s="981" t="s">
        <v>35</v>
      </c>
      <c r="C161" s="981">
        <v>564</v>
      </c>
    </row>
    <row r="162" spans="1:3" x14ac:dyDescent="0.25">
      <c r="A162" s="981" t="s">
        <v>259</v>
      </c>
      <c r="B162" s="981" t="s">
        <v>51</v>
      </c>
      <c r="C162" s="981">
        <v>376</v>
      </c>
    </row>
    <row r="163" spans="1:3" x14ac:dyDescent="0.25">
      <c r="A163" s="981" t="s">
        <v>259</v>
      </c>
      <c r="B163" s="981" t="s">
        <v>48</v>
      </c>
      <c r="C163" s="981">
        <v>349</v>
      </c>
    </row>
    <row r="164" spans="1:3" x14ac:dyDescent="0.25">
      <c r="A164" s="981" t="s">
        <v>259</v>
      </c>
      <c r="B164" s="981" t="s">
        <v>55</v>
      </c>
      <c r="C164" s="981">
        <v>325</v>
      </c>
    </row>
    <row r="165" spans="1:3" x14ac:dyDescent="0.25">
      <c r="A165" s="981" t="s">
        <v>258</v>
      </c>
      <c r="B165" s="981" t="s">
        <v>124</v>
      </c>
      <c r="C165" s="981">
        <v>10055</v>
      </c>
    </row>
    <row r="166" spans="1:3" x14ac:dyDescent="0.25">
      <c r="A166" s="981" t="s">
        <v>258</v>
      </c>
      <c r="B166" s="981" t="s">
        <v>43</v>
      </c>
      <c r="C166" s="981">
        <v>6207</v>
      </c>
    </row>
    <row r="167" spans="1:3" x14ac:dyDescent="0.25">
      <c r="A167" s="981" t="s">
        <v>258</v>
      </c>
      <c r="B167" s="981" t="s">
        <v>262</v>
      </c>
      <c r="C167" s="981">
        <v>4459</v>
      </c>
    </row>
    <row r="168" spans="1:3" x14ac:dyDescent="0.25">
      <c r="A168" s="981" t="s">
        <v>258</v>
      </c>
      <c r="B168" s="981" t="s">
        <v>44</v>
      </c>
      <c r="C168" s="981">
        <v>3781</v>
      </c>
    </row>
    <row r="169" spans="1:3" x14ac:dyDescent="0.25">
      <c r="A169" s="981" t="s">
        <v>258</v>
      </c>
      <c r="B169" s="981" t="s">
        <v>57</v>
      </c>
      <c r="C169" s="981">
        <v>3544</v>
      </c>
    </row>
    <row r="170" spans="1:3" x14ac:dyDescent="0.25">
      <c r="A170" s="981" t="s">
        <v>258</v>
      </c>
      <c r="B170" s="981" t="s">
        <v>37</v>
      </c>
      <c r="C170" s="981">
        <v>3394</v>
      </c>
    </row>
    <row r="171" spans="1:3" x14ac:dyDescent="0.25">
      <c r="A171" s="981" t="s">
        <v>258</v>
      </c>
      <c r="B171" s="981" t="s">
        <v>50</v>
      </c>
      <c r="C171" s="981">
        <v>3266</v>
      </c>
    </row>
    <row r="172" spans="1:3" x14ac:dyDescent="0.25">
      <c r="A172" s="981" t="s">
        <v>258</v>
      </c>
      <c r="B172" s="981" t="s">
        <v>31</v>
      </c>
      <c r="C172" s="981">
        <v>2745</v>
      </c>
    </row>
    <row r="173" spans="1:3" x14ac:dyDescent="0.25">
      <c r="A173" s="981" t="s">
        <v>258</v>
      </c>
      <c r="B173" s="981" t="s">
        <v>60</v>
      </c>
      <c r="C173" s="981">
        <v>2321</v>
      </c>
    </row>
    <row r="174" spans="1:3" x14ac:dyDescent="0.25">
      <c r="A174" s="981" t="s">
        <v>258</v>
      </c>
      <c r="B174" s="981" t="s">
        <v>54</v>
      </c>
      <c r="C174" s="981">
        <v>2127</v>
      </c>
    </row>
    <row r="175" spans="1:3" x14ac:dyDescent="0.25">
      <c r="A175" s="981" t="s">
        <v>258</v>
      </c>
      <c r="B175" s="981" t="s">
        <v>53</v>
      </c>
      <c r="C175" s="981">
        <v>1888</v>
      </c>
    </row>
    <row r="176" spans="1:3" x14ac:dyDescent="0.25">
      <c r="A176" s="981" t="s">
        <v>258</v>
      </c>
      <c r="B176" s="981" t="s">
        <v>42</v>
      </c>
      <c r="C176" s="981">
        <v>1859</v>
      </c>
    </row>
    <row r="177" spans="1:3" x14ac:dyDescent="0.25">
      <c r="A177" s="981" t="s">
        <v>258</v>
      </c>
      <c r="B177" s="981" t="s">
        <v>32</v>
      </c>
      <c r="C177" s="981">
        <v>1770</v>
      </c>
    </row>
    <row r="178" spans="1:3" x14ac:dyDescent="0.25">
      <c r="A178" s="981" t="s">
        <v>258</v>
      </c>
      <c r="B178" s="981" t="s">
        <v>33</v>
      </c>
      <c r="C178" s="981">
        <v>1768</v>
      </c>
    </row>
    <row r="179" spans="1:3" x14ac:dyDescent="0.25">
      <c r="A179" s="981" t="s">
        <v>258</v>
      </c>
      <c r="B179" s="981" t="s">
        <v>36</v>
      </c>
      <c r="C179" s="981">
        <v>1749</v>
      </c>
    </row>
    <row r="180" spans="1:3" x14ac:dyDescent="0.25">
      <c r="A180" s="981" t="s">
        <v>258</v>
      </c>
      <c r="B180" s="981" t="s">
        <v>47</v>
      </c>
      <c r="C180" s="981">
        <v>1664</v>
      </c>
    </row>
    <row r="181" spans="1:3" x14ac:dyDescent="0.25">
      <c r="A181" s="981" t="s">
        <v>258</v>
      </c>
      <c r="B181" s="981" t="s">
        <v>49</v>
      </c>
      <c r="C181" s="981">
        <v>1582</v>
      </c>
    </row>
    <row r="182" spans="1:3" x14ac:dyDescent="0.25">
      <c r="A182" s="981" t="s">
        <v>258</v>
      </c>
      <c r="B182" s="981" t="s">
        <v>59</v>
      </c>
      <c r="C182" s="981">
        <v>1564</v>
      </c>
    </row>
    <row r="183" spans="1:3" x14ac:dyDescent="0.25">
      <c r="A183" s="981" t="s">
        <v>258</v>
      </c>
      <c r="B183" s="981" t="s">
        <v>45</v>
      </c>
      <c r="C183" s="981">
        <v>1529</v>
      </c>
    </row>
    <row r="184" spans="1:3" x14ac:dyDescent="0.25">
      <c r="A184" s="981" t="s">
        <v>258</v>
      </c>
      <c r="B184" s="981" t="s">
        <v>34</v>
      </c>
      <c r="C184" s="981">
        <v>1470</v>
      </c>
    </row>
    <row r="185" spans="1:3" x14ac:dyDescent="0.25">
      <c r="A185" s="981" t="s">
        <v>258</v>
      </c>
      <c r="B185" s="981" t="s">
        <v>52</v>
      </c>
      <c r="C185" s="981">
        <v>1468</v>
      </c>
    </row>
    <row r="186" spans="1:3" x14ac:dyDescent="0.25">
      <c r="A186" s="981" t="s">
        <v>258</v>
      </c>
      <c r="B186" s="981" t="s">
        <v>39</v>
      </c>
      <c r="C186" s="981">
        <v>1232</v>
      </c>
    </row>
    <row r="187" spans="1:3" x14ac:dyDescent="0.25">
      <c r="A187" s="981" t="s">
        <v>258</v>
      </c>
      <c r="B187" s="981" t="s">
        <v>56</v>
      </c>
      <c r="C187" s="981">
        <v>1124</v>
      </c>
    </row>
    <row r="188" spans="1:3" x14ac:dyDescent="0.25">
      <c r="A188" s="981" t="s">
        <v>258</v>
      </c>
      <c r="B188" s="981" t="s">
        <v>41</v>
      </c>
      <c r="C188" s="981">
        <v>1096</v>
      </c>
    </row>
    <row r="189" spans="1:3" x14ac:dyDescent="0.25">
      <c r="A189" s="981" t="s">
        <v>258</v>
      </c>
      <c r="B189" s="981" t="s">
        <v>38</v>
      </c>
      <c r="C189" s="981">
        <v>1077</v>
      </c>
    </row>
    <row r="190" spans="1:3" x14ac:dyDescent="0.25">
      <c r="A190" s="981" t="s">
        <v>258</v>
      </c>
      <c r="B190" s="981" t="s">
        <v>46</v>
      </c>
      <c r="C190" s="981">
        <v>1000</v>
      </c>
    </row>
    <row r="191" spans="1:3" x14ac:dyDescent="0.25">
      <c r="A191" s="981" t="s">
        <v>258</v>
      </c>
      <c r="B191" s="981" t="s">
        <v>40</v>
      </c>
      <c r="C191" s="981">
        <v>963</v>
      </c>
    </row>
    <row r="192" spans="1:3" x14ac:dyDescent="0.25">
      <c r="A192" s="981" t="s">
        <v>258</v>
      </c>
      <c r="B192" s="981" t="s">
        <v>58</v>
      </c>
      <c r="C192" s="981">
        <v>933</v>
      </c>
    </row>
    <row r="193" spans="1:3" x14ac:dyDescent="0.25">
      <c r="A193" s="981" t="s">
        <v>258</v>
      </c>
      <c r="B193" s="981" t="s">
        <v>35</v>
      </c>
      <c r="C193" s="981">
        <v>591</v>
      </c>
    </row>
    <row r="194" spans="1:3" x14ac:dyDescent="0.25">
      <c r="A194" s="981" t="s">
        <v>258</v>
      </c>
      <c r="B194" s="981" t="s">
        <v>48</v>
      </c>
      <c r="C194" s="981">
        <v>385</v>
      </c>
    </row>
    <row r="195" spans="1:3" x14ac:dyDescent="0.25">
      <c r="A195" s="981" t="s">
        <v>258</v>
      </c>
      <c r="B195" s="981" t="s">
        <v>55</v>
      </c>
      <c r="C195" s="981">
        <v>296</v>
      </c>
    </row>
    <row r="196" spans="1:3" x14ac:dyDescent="0.25">
      <c r="A196" s="981" t="s">
        <v>258</v>
      </c>
      <c r="B196" s="981" t="s">
        <v>51</v>
      </c>
      <c r="C196" s="981">
        <v>290</v>
      </c>
    </row>
  </sheetData>
  <pageMargins left="0.7" right="0.7" top="0.75" bottom="0.75" header="0.3" footer="0.3"/>
  <pageSetup paperSize="9" fitToHeight="50"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4:C196"/>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3" x14ac:dyDescent="0.25">
      <c r="A4" s="980" t="s">
        <v>334</v>
      </c>
      <c r="B4" s="980" t="s">
        <v>883</v>
      </c>
      <c r="C4" s="980" t="s">
        <v>1035</v>
      </c>
    </row>
    <row r="5" spans="1:3" x14ac:dyDescent="0.25">
      <c r="A5" s="981" t="s">
        <v>207</v>
      </c>
      <c r="B5" s="981" t="s">
        <v>37</v>
      </c>
      <c r="C5" s="981">
        <v>10.023</v>
      </c>
    </row>
    <row r="6" spans="1:3" x14ac:dyDescent="0.25">
      <c r="A6" s="981" t="s">
        <v>207</v>
      </c>
      <c r="B6" s="981" t="s">
        <v>33</v>
      </c>
      <c r="C6" s="981">
        <v>6.7050000000000001</v>
      </c>
    </row>
    <row r="7" spans="1:3" x14ac:dyDescent="0.25">
      <c r="A7" s="981" t="s">
        <v>207</v>
      </c>
      <c r="B7" s="981" t="s">
        <v>52</v>
      </c>
      <c r="C7" s="981">
        <v>6.25</v>
      </c>
    </row>
    <row r="8" spans="1:3" x14ac:dyDescent="0.25">
      <c r="A8" s="981" t="s">
        <v>207</v>
      </c>
      <c r="B8" s="981" t="s">
        <v>54</v>
      </c>
      <c r="C8" s="981">
        <v>4.5519999999999996</v>
      </c>
    </row>
    <row r="9" spans="1:3" x14ac:dyDescent="0.25">
      <c r="A9" s="981" t="s">
        <v>207</v>
      </c>
      <c r="B9" s="981" t="s">
        <v>43</v>
      </c>
      <c r="C9" s="981">
        <v>3.8460000000000001</v>
      </c>
    </row>
    <row r="10" spans="1:3" x14ac:dyDescent="0.25">
      <c r="A10" s="981" t="s">
        <v>207</v>
      </c>
      <c r="B10" s="981" t="s">
        <v>35</v>
      </c>
      <c r="C10" s="981">
        <v>3.649</v>
      </c>
    </row>
    <row r="11" spans="1:3" x14ac:dyDescent="0.25">
      <c r="A11" s="981" t="s">
        <v>207</v>
      </c>
      <c r="B11" s="981" t="s">
        <v>44</v>
      </c>
      <c r="C11" s="981">
        <v>3.3719999999999999</v>
      </c>
    </row>
    <row r="12" spans="1:3" x14ac:dyDescent="0.25">
      <c r="A12" s="981" t="s">
        <v>207</v>
      </c>
      <c r="B12" s="981" t="s">
        <v>45</v>
      </c>
      <c r="C12" s="981">
        <v>3.2069999999999999</v>
      </c>
    </row>
    <row r="13" spans="1:3" x14ac:dyDescent="0.25">
      <c r="A13" s="981" t="s">
        <v>207</v>
      </c>
      <c r="B13" s="981" t="s">
        <v>38</v>
      </c>
      <c r="C13" s="981">
        <v>3.194</v>
      </c>
    </row>
    <row r="14" spans="1:3" x14ac:dyDescent="0.25">
      <c r="A14" s="981" t="s">
        <v>207</v>
      </c>
      <c r="B14" s="981" t="s">
        <v>55</v>
      </c>
      <c r="C14" s="981">
        <v>2.6819999999999999</v>
      </c>
    </row>
    <row r="15" spans="1:3" x14ac:dyDescent="0.25">
      <c r="A15" s="981" t="s">
        <v>207</v>
      </c>
      <c r="B15" s="981" t="s">
        <v>46</v>
      </c>
      <c r="C15" s="981">
        <v>2.613</v>
      </c>
    </row>
    <row r="16" spans="1:3" x14ac:dyDescent="0.25">
      <c r="A16" s="981" t="s">
        <v>207</v>
      </c>
      <c r="B16" s="981" t="s">
        <v>60</v>
      </c>
      <c r="C16" s="981">
        <v>2.52</v>
      </c>
    </row>
    <row r="17" spans="1:3" x14ac:dyDescent="0.25">
      <c r="A17" s="981" t="s">
        <v>207</v>
      </c>
      <c r="B17" s="981" t="s">
        <v>41</v>
      </c>
      <c r="C17" s="981">
        <v>2.4969999999999999</v>
      </c>
    </row>
    <row r="18" spans="1:3" x14ac:dyDescent="0.25">
      <c r="A18" s="981" t="s">
        <v>207</v>
      </c>
      <c r="B18" s="981" t="s">
        <v>51</v>
      </c>
      <c r="C18" s="981">
        <v>2.4729999999999999</v>
      </c>
    </row>
    <row r="19" spans="1:3" x14ac:dyDescent="0.25">
      <c r="A19" s="981" t="s">
        <v>207</v>
      </c>
      <c r="B19" s="981" t="s">
        <v>49</v>
      </c>
      <c r="C19" s="981">
        <v>2.4119999999999999</v>
      </c>
    </row>
    <row r="20" spans="1:3" x14ac:dyDescent="0.25">
      <c r="A20" s="981" t="s">
        <v>207</v>
      </c>
      <c r="B20" s="981" t="s">
        <v>48</v>
      </c>
      <c r="C20" s="981">
        <v>2.4089999999999998</v>
      </c>
    </row>
    <row r="21" spans="1:3" x14ac:dyDescent="0.25">
      <c r="A21" s="981" t="s">
        <v>207</v>
      </c>
      <c r="B21" s="981" t="s">
        <v>42</v>
      </c>
      <c r="C21" s="981">
        <v>2.3860000000000001</v>
      </c>
    </row>
    <row r="22" spans="1:3" x14ac:dyDescent="0.25">
      <c r="A22" s="981" t="s">
        <v>207</v>
      </c>
      <c r="B22" s="981" t="s">
        <v>262</v>
      </c>
      <c r="C22" s="981">
        <v>2.2410000000000001</v>
      </c>
    </row>
    <row r="23" spans="1:3" x14ac:dyDescent="0.25">
      <c r="A23" s="981" t="s">
        <v>207</v>
      </c>
      <c r="B23" s="981" t="s">
        <v>53</v>
      </c>
      <c r="C23" s="981">
        <v>2.2360000000000002</v>
      </c>
    </row>
    <row r="24" spans="1:3" x14ac:dyDescent="0.25">
      <c r="A24" s="981" t="s">
        <v>207</v>
      </c>
      <c r="B24" s="981" t="s">
        <v>40</v>
      </c>
      <c r="C24" s="981">
        <v>2.2250000000000001</v>
      </c>
    </row>
    <row r="25" spans="1:3" x14ac:dyDescent="0.25">
      <c r="A25" s="981" t="s">
        <v>207</v>
      </c>
      <c r="B25" s="981" t="s">
        <v>58</v>
      </c>
      <c r="C25" s="981">
        <v>2.1819999999999999</v>
      </c>
    </row>
    <row r="26" spans="1:3" x14ac:dyDescent="0.25">
      <c r="A26" s="981" t="s">
        <v>207</v>
      </c>
      <c r="B26" s="981" t="s">
        <v>31</v>
      </c>
      <c r="C26" s="981">
        <v>2.12</v>
      </c>
    </row>
    <row r="27" spans="1:3" x14ac:dyDescent="0.25">
      <c r="A27" s="981" t="s">
        <v>207</v>
      </c>
      <c r="B27" s="981" t="s">
        <v>34</v>
      </c>
      <c r="C27" s="981">
        <v>2.0830000000000002</v>
      </c>
    </row>
    <row r="28" spans="1:3" x14ac:dyDescent="0.25">
      <c r="A28" s="981" t="s">
        <v>207</v>
      </c>
      <c r="B28" s="981" t="s">
        <v>59</v>
      </c>
      <c r="C28" s="981">
        <v>2.077</v>
      </c>
    </row>
    <row r="29" spans="1:3" x14ac:dyDescent="0.25">
      <c r="A29" s="981" t="s">
        <v>207</v>
      </c>
      <c r="B29" s="981" t="s">
        <v>124</v>
      </c>
      <c r="C29" s="981">
        <v>2.0219999999999998</v>
      </c>
    </row>
    <row r="30" spans="1:3" x14ac:dyDescent="0.25">
      <c r="A30" s="981" t="s">
        <v>207</v>
      </c>
      <c r="B30" s="981" t="s">
        <v>36</v>
      </c>
      <c r="C30" s="981">
        <v>1.9790000000000001</v>
      </c>
    </row>
    <row r="31" spans="1:3" x14ac:dyDescent="0.25">
      <c r="A31" s="981" t="s">
        <v>207</v>
      </c>
      <c r="B31" s="981" t="s">
        <v>57</v>
      </c>
      <c r="C31" s="981">
        <v>1.9690000000000001</v>
      </c>
    </row>
    <row r="32" spans="1:3" x14ac:dyDescent="0.25">
      <c r="A32" s="981" t="s">
        <v>207</v>
      </c>
      <c r="B32" s="981" t="s">
        <v>56</v>
      </c>
      <c r="C32" s="981">
        <v>1.9550000000000001</v>
      </c>
    </row>
    <row r="33" spans="1:3" x14ac:dyDescent="0.25">
      <c r="A33" s="981" t="s">
        <v>207</v>
      </c>
      <c r="B33" s="981" t="s">
        <v>39</v>
      </c>
      <c r="C33" s="981">
        <v>1.919</v>
      </c>
    </row>
    <row r="34" spans="1:3" x14ac:dyDescent="0.25">
      <c r="A34" s="981" t="s">
        <v>207</v>
      </c>
      <c r="B34" s="981" t="s">
        <v>50</v>
      </c>
      <c r="C34" s="981">
        <v>1.8819999999999999</v>
      </c>
    </row>
    <row r="35" spans="1:3" x14ac:dyDescent="0.25">
      <c r="A35" s="981" t="s">
        <v>207</v>
      </c>
      <c r="B35" s="981" t="s">
        <v>47</v>
      </c>
      <c r="C35" s="981">
        <v>1.4510000000000001</v>
      </c>
    </row>
    <row r="36" spans="1:3" x14ac:dyDescent="0.25">
      <c r="A36" s="981" t="s">
        <v>207</v>
      </c>
      <c r="B36" s="981" t="s">
        <v>32</v>
      </c>
      <c r="C36" s="981">
        <v>1.202</v>
      </c>
    </row>
    <row r="37" spans="1:3" x14ac:dyDescent="0.25">
      <c r="A37" s="981" t="s">
        <v>206</v>
      </c>
      <c r="B37" s="981" t="s">
        <v>37</v>
      </c>
      <c r="C37" s="981">
        <v>5.0640000000000001</v>
      </c>
    </row>
    <row r="38" spans="1:3" x14ac:dyDescent="0.25">
      <c r="A38" s="981" t="s">
        <v>206</v>
      </c>
      <c r="B38" s="981" t="s">
        <v>54</v>
      </c>
      <c r="C38" s="981">
        <v>4.2309999999999999</v>
      </c>
    </row>
    <row r="39" spans="1:3" x14ac:dyDescent="0.25">
      <c r="A39" s="981" t="s">
        <v>206</v>
      </c>
      <c r="B39" s="981" t="s">
        <v>43</v>
      </c>
      <c r="C39" s="981">
        <v>3.9820000000000002</v>
      </c>
    </row>
    <row r="40" spans="1:3" x14ac:dyDescent="0.25">
      <c r="A40" s="981" t="s">
        <v>206</v>
      </c>
      <c r="B40" s="981" t="s">
        <v>52</v>
      </c>
      <c r="C40" s="981">
        <v>3.4449999999999998</v>
      </c>
    </row>
    <row r="41" spans="1:3" x14ac:dyDescent="0.25">
      <c r="A41" s="981" t="s">
        <v>206</v>
      </c>
      <c r="B41" s="981" t="s">
        <v>45</v>
      </c>
      <c r="C41" s="981">
        <v>3.37</v>
      </c>
    </row>
    <row r="42" spans="1:3" x14ac:dyDescent="0.25">
      <c r="A42" s="981" t="s">
        <v>206</v>
      </c>
      <c r="B42" s="981" t="s">
        <v>33</v>
      </c>
      <c r="C42" s="981">
        <v>3.335</v>
      </c>
    </row>
    <row r="43" spans="1:3" x14ac:dyDescent="0.25">
      <c r="A43" s="981" t="s">
        <v>206</v>
      </c>
      <c r="B43" s="981" t="s">
        <v>35</v>
      </c>
      <c r="C43" s="981">
        <v>3.2669999999999999</v>
      </c>
    </row>
    <row r="44" spans="1:3" x14ac:dyDescent="0.25">
      <c r="A44" s="981" t="s">
        <v>206</v>
      </c>
      <c r="B44" s="981" t="s">
        <v>41</v>
      </c>
      <c r="C44" s="981">
        <v>3.2629999999999999</v>
      </c>
    </row>
    <row r="45" spans="1:3" x14ac:dyDescent="0.25">
      <c r="A45" s="981" t="s">
        <v>206</v>
      </c>
      <c r="B45" s="981" t="s">
        <v>44</v>
      </c>
      <c r="C45" s="981">
        <v>3.1280000000000001</v>
      </c>
    </row>
    <row r="46" spans="1:3" x14ac:dyDescent="0.25">
      <c r="A46" s="981" t="s">
        <v>206</v>
      </c>
      <c r="B46" s="981" t="s">
        <v>49</v>
      </c>
      <c r="C46" s="981">
        <v>2.7749999999999999</v>
      </c>
    </row>
    <row r="47" spans="1:3" x14ac:dyDescent="0.25">
      <c r="A47" s="981" t="s">
        <v>206</v>
      </c>
      <c r="B47" s="981" t="s">
        <v>40</v>
      </c>
      <c r="C47" s="981">
        <v>2.7149999999999999</v>
      </c>
    </row>
    <row r="48" spans="1:3" x14ac:dyDescent="0.25">
      <c r="A48" s="981" t="s">
        <v>206</v>
      </c>
      <c r="B48" s="981" t="s">
        <v>53</v>
      </c>
      <c r="C48" s="981">
        <v>2.5499999999999998</v>
      </c>
    </row>
    <row r="49" spans="1:3" x14ac:dyDescent="0.25">
      <c r="A49" s="981" t="s">
        <v>206</v>
      </c>
      <c r="B49" s="981" t="s">
        <v>46</v>
      </c>
      <c r="C49" s="981">
        <v>2.5419999999999998</v>
      </c>
    </row>
    <row r="50" spans="1:3" x14ac:dyDescent="0.25">
      <c r="A50" s="981" t="s">
        <v>206</v>
      </c>
      <c r="B50" s="981" t="s">
        <v>58</v>
      </c>
      <c r="C50" s="981">
        <v>2.5270000000000001</v>
      </c>
    </row>
    <row r="51" spans="1:3" x14ac:dyDescent="0.25">
      <c r="A51" s="981" t="s">
        <v>206</v>
      </c>
      <c r="B51" s="981" t="s">
        <v>34</v>
      </c>
      <c r="C51" s="981">
        <v>2.48</v>
      </c>
    </row>
    <row r="52" spans="1:3" x14ac:dyDescent="0.25">
      <c r="A52" s="981" t="s">
        <v>206</v>
      </c>
      <c r="B52" s="981" t="s">
        <v>39</v>
      </c>
      <c r="C52" s="981">
        <v>2.431</v>
      </c>
    </row>
    <row r="53" spans="1:3" x14ac:dyDescent="0.25">
      <c r="A53" s="981" t="s">
        <v>206</v>
      </c>
      <c r="B53" s="981" t="s">
        <v>262</v>
      </c>
      <c r="C53" s="981">
        <v>2.3330000000000002</v>
      </c>
    </row>
    <row r="54" spans="1:3" x14ac:dyDescent="0.25">
      <c r="A54" s="981" t="s">
        <v>206</v>
      </c>
      <c r="B54" s="981" t="s">
        <v>50</v>
      </c>
      <c r="C54" s="981">
        <v>2.3069999999999999</v>
      </c>
    </row>
    <row r="55" spans="1:3" x14ac:dyDescent="0.25">
      <c r="A55" s="981" t="s">
        <v>206</v>
      </c>
      <c r="B55" s="981" t="s">
        <v>51</v>
      </c>
      <c r="C55" s="981">
        <v>2.2930000000000001</v>
      </c>
    </row>
    <row r="56" spans="1:3" x14ac:dyDescent="0.25">
      <c r="A56" s="981" t="s">
        <v>206</v>
      </c>
      <c r="B56" s="981" t="s">
        <v>38</v>
      </c>
      <c r="C56" s="981">
        <v>2.2749999999999999</v>
      </c>
    </row>
    <row r="57" spans="1:3" x14ac:dyDescent="0.25">
      <c r="A57" s="981" t="s">
        <v>206</v>
      </c>
      <c r="B57" s="981" t="s">
        <v>60</v>
      </c>
      <c r="C57" s="981">
        <v>2.2559999999999998</v>
      </c>
    </row>
    <row r="58" spans="1:3" x14ac:dyDescent="0.25">
      <c r="A58" s="981" t="s">
        <v>206</v>
      </c>
      <c r="B58" s="981" t="s">
        <v>42</v>
      </c>
      <c r="C58" s="981">
        <v>2.2269999999999999</v>
      </c>
    </row>
    <row r="59" spans="1:3" x14ac:dyDescent="0.25">
      <c r="A59" s="981" t="s">
        <v>206</v>
      </c>
      <c r="B59" s="981" t="s">
        <v>31</v>
      </c>
      <c r="C59" s="981">
        <v>2.1800000000000002</v>
      </c>
    </row>
    <row r="60" spans="1:3" x14ac:dyDescent="0.25">
      <c r="A60" s="981" t="s">
        <v>206</v>
      </c>
      <c r="B60" s="981" t="s">
        <v>57</v>
      </c>
      <c r="C60" s="981">
        <v>2.133</v>
      </c>
    </row>
    <row r="61" spans="1:3" x14ac:dyDescent="0.25">
      <c r="A61" s="981" t="s">
        <v>206</v>
      </c>
      <c r="B61" s="981" t="s">
        <v>36</v>
      </c>
      <c r="C61" s="981">
        <v>2.0649999999999999</v>
      </c>
    </row>
    <row r="62" spans="1:3" x14ac:dyDescent="0.25">
      <c r="A62" s="981" t="s">
        <v>206</v>
      </c>
      <c r="B62" s="981" t="s">
        <v>56</v>
      </c>
      <c r="C62" s="981">
        <v>2.0649999999999999</v>
      </c>
    </row>
    <row r="63" spans="1:3" x14ac:dyDescent="0.25">
      <c r="A63" s="981" t="s">
        <v>206</v>
      </c>
      <c r="B63" s="981" t="s">
        <v>59</v>
      </c>
      <c r="C63" s="981">
        <v>2.0590000000000002</v>
      </c>
    </row>
    <row r="64" spans="1:3" x14ac:dyDescent="0.25">
      <c r="A64" s="981" t="s">
        <v>206</v>
      </c>
      <c r="B64" s="981" t="s">
        <v>55</v>
      </c>
      <c r="C64" s="981">
        <v>2.0369999999999999</v>
      </c>
    </row>
    <row r="65" spans="1:3" x14ac:dyDescent="0.25">
      <c r="A65" s="981" t="s">
        <v>206</v>
      </c>
      <c r="B65" s="981" t="s">
        <v>124</v>
      </c>
      <c r="C65" s="981">
        <v>2.0310000000000001</v>
      </c>
    </row>
    <row r="66" spans="1:3" x14ac:dyDescent="0.25">
      <c r="A66" s="981" t="s">
        <v>206</v>
      </c>
      <c r="B66" s="981" t="s">
        <v>48</v>
      </c>
      <c r="C66" s="981">
        <v>2.0110000000000001</v>
      </c>
    </row>
    <row r="67" spans="1:3" x14ac:dyDescent="0.25">
      <c r="A67" s="981" t="s">
        <v>206</v>
      </c>
      <c r="B67" s="981" t="s">
        <v>47</v>
      </c>
      <c r="C67" s="981">
        <v>1.663</v>
      </c>
    </row>
    <row r="68" spans="1:3" x14ac:dyDescent="0.25">
      <c r="A68" s="981" t="s">
        <v>206</v>
      </c>
      <c r="B68" s="981" t="s">
        <v>32</v>
      </c>
      <c r="C68" s="981">
        <v>1.2689999999999999</v>
      </c>
    </row>
    <row r="69" spans="1:3" x14ac:dyDescent="0.25">
      <c r="A69" s="981" t="s">
        <v>205</v>
      </c>
      <c r="B69" s="981" t="s">
        <v>37</v>
      </c>
      <c r="C69" s="981">
        <v>5.9050000000000002</v>
      </c>
    </row>
    <row r="70" spans="1:3" x14ac:dyDescent="0.25">
      <c r="A70" s="981" t="s">
        <v>205</v>
      </c>
      <c r="B70" s="981" t="s">
        <v>41</v>
      </c>
      <c r="C70" s="981">
        <v>4.4480000000000004</v>
      </c>
    </row>
    <row r="71" spans="1:3" x14ac:dyDescent="0.25">
      <c r="A71" s="981" t="s">
        <v>205</v>
      </c>
      <c r="B71" s="981" t="s">
        <v>54</v>
      </c>
      <c r="C71" s="981">
        <v>4.4130000000000003</v>
      </c>
    </row>
    <row r="72" spans="1:3" x14ac:dyDescent="0.25">
      <c r="A72" s="981" t="s">
        <v>205</v>
      </c>
      <c r="B72" s="981" t="s">
        <v>45</v>
      </c>
      <c r="C72" s="981">
        <v>4.367</v>
      </c>
    </row>
    <row r="73" spans="1:3" x14ac:dyDescent="0.25">
      <c r="A73" s="981" t="s">
        <v>205</v>
      </c>
      <c r="B73" s="981" t="s">
        <v>43</v>
      </c>
      <c r="C73" s="981">
        <v>4.0830000000000002</v>
      </c>
    </row>
    <row r="74" spans="1:3" x14ac:dyDescent="0.25">
      <c r="A74" s="981" t="s">
        <v>205</v>
      </c>
      <c r="B74" s="981" t="s">
        <v>33</v>
      </c>
      <c r="C74" s="981">
        <v>3.9020000000000001</v>
      </c>
    </row>
    <row r="75" spans="1:3" x14ac:dyDescent="0.25">
      <c r="A75" s="981" t="s">
        <v>205</v>
      </c>
      <c r="B75" s="981" t="s">
        <v>34</v>
      </c>
      <c r="C75" s="981">
        <v>3.452</v>
      </c>
    </row>
    <row r="76" spans="1:3" x14ac:dyDescent="0.25">
      <c r="A76" s="981" t="s">
        <v>205</v>
      </c>
      <c r="B76" s="981" t="s">
        <v>39</v>
      </c>
      <c r="C76" s="981">
        <v>3.1850000000000001</v>
      </c>
    </row>
    <row r="77" spans="1:3" x14ac:dyDescent="0.25">
      <c r="A77" s="981" t="s">
        <v>205</v>
      </c>
      <c r="B77" s="981" t="s">
        <v>44</v>
      </c>
      <c r="C77" s="981">
        <v>3.1829999999999998</v>
      </c>
    </row>
    <row r="78" spans="1:3" x14ac:dyDescent="0.25">
      <c r="A78" s="981" t="s">
        <v>205</v>
      </c>
      <c r="B78" s="981" t="s">
        <v>59</v>
      </c>
      <c r="C78" s="981">
        <v>3.1160000000000001</v>
      </c>
    </row>
    <row r="79" spans="1:3" x14ac:dyDescent="0.25">
      <c r="A79" s="981" t="s">
        <v>205</v>
      </c>
      <c r="B79" s="981" t="s">
        <v>40</v>
      </c>
      <c r="C79" s="981">
        <v>3.0649999999999999</v>
      </c>
    </row>
    <row r="80" spans="1:3" x14ac:dyDescent="0.25">
      <c r="A80" s="981" t="s">
        <v>205</v>
      </c>
      <c r="B80" s="981" t="s">
        <v>49</v>
      </c>
      <c r="C80" s="981">
        <v>3.0609999999999999</v>
      </c>
    </row>
    <row r="81" spans="1:3" x14ac:dyDescent="0.25">
      <c r="A81" s="981" t="s">
        <v>205</v>
      </c>
      <c r="B81" s="981" t="s">
        <v>51</v>
      </c>
      <c r="C81" s="981">
        <v>2.984</v>
      </c>
    </row>
    <row r="82" spans="1:3" x14ac:dyDescent="0.25">
      <c r="A82" s="981" t="s">
        <v>205</v>
      </c>
      <c r="B82" s="981" t="s">
        <v>36</v>
      </c>
      <c r="C82" s="981">
        <v>2.903</v>
      </c>
    </row>
    <row r="83" spans="1:3" x14ac:dyDescent="0.25">
      <c r="A83" s="981" t="s">
        <v>205</v>
      </c>
      <c r="B83" s="981" t="s">
        <v>46</v>
      </c>
      <c r="C83" s="981">
        <v>2.847</v>
      </c>
    </row>
    <row r="84" spans="1:3" x14ac:dyDescent="0.25">
      <c r="A84" s="981" t="s">
        <v>205</v>
      </c>
      <c r="B84" s="981" t="s">
        <v>52</v>
      </c>
      <c r="C84" s="981">
        <v>2.8220000000000001</v>
      </c>
    </row>
    <row r="85" spans="1:3" x14ac:dyDescent="0.25">
      <c r="A85" s="981" t="s">
        <v>205</v>
      </c>
      <c r="B85" s="981" t="s">
        <v>50</v>
      </c>
      <c r="C85" s="981">
        <v>2.7309999999999999</v>
      </c>
    </row>
    <row r="86" spans="1:3" x14ac:dyDescent="0.25">
      <c r="A86" s="981" t="s">
        <v>205</v>
      </c>
      <c r="B86" s="981" t="s">
        <v>35</v>
      </c>
      <c r="C86" s="981">
        <v>2.5920000000000001</v>
      </c>
    </row>
    <row r="87" spans="1:3" x14ac:dyDescent="0.25">
      <c r="A87" s="981" t="s">
        <v>205</v>
      </c>
      <c r="B87" s="981" t="s">
        <v>56</v>
      </c>
      <c r="C87" s="981">
        <v>2.54</v>
      </c>
    </row>
    <row r="88" spans="1:3" x14ac:dyDescent="0.25">
      <c r="A88" s="981" t="s">
        <v>205</v>
      </c>
      <c r="B88" s="981" t="s">
        <v>55</v>
      </c>
      <c r="C88" s="981">
        <v>2.5129999999999999</v>
      </c>
    </row>
    <row r="89" spans="1:3" x14ac:dyDescent="0.25">
      <c r="A89" s="981" t="s">
        <v>205</v>
      </c>
      <c r="B89" s="981" t="s">
        <v>58</v>
      </c>
      <c r="C89" s="981">
        <v>2.4870000000000001</v>
      </c>
    </row>
    <row r="90" spans="1:3" x14ac:dyDescent="0.25">
      <c r="A90" s="981" t="s">
        <v>205</v>
      </c>
      <c r="B90" s="981" t="s">
        <v>60</v>
      </c>
      <c r="C90" s="981">
        <v>2.4039999999999999</v>
      </c>
    </row>
    <row r="91" spans="1:3" x14ac:dyDescent="0.25">
      <c r="A91" s="981" t="s">
        <v>205</v>
      </c>
      <c r="B91" s="981" t="s">
        <v>42</v>
      </c>
      <c r="C91" s="981">
        <v>2.3260000000000001</v>
      </c>
    </row>
    <row r="92" spans="1:3" x14ac:dyDescent="0.25">
      <c r="A92" s="981" t="s">
        <v>205</v>
      </c>
      <c r="B92" s="981" t="s">
        <v>38</v>
      </c>
      <c r="C92" s="981">
        <v>2.3210000000000002</v>
      </c>
    </row>
    <row r="93" spans="1:3" x14ac:dyDescent="0.25">
      <c r="A93" s="981" t="s">
        <v>205</v>
      </c>
      <c r="B93" s="981" t="s">
        <v>31</v>
      </c>
      <c r="C93" s="981">
        <v>2.3159999999999998</v>
      </c>
    </row>
    <row r="94" spans="1:3" x14ac:dyDescent="0.25">
      <c r="A94" s="981" t="s">
        <v>205</v>
      </c>
      <c r="B94" s="981" t="s">
        <v>57</v>
      </c>
      <c r="C94" s="981">
        <v>2.254</v>
      </c>
    </row>
    <row r="95" spans="1:3" x14ac:dyDescent="0.25">
      <c r="A95" s="981" t="s">
        <v>205</v>
      </c>
      <c r="B95" s="981" t="s">
        <v>262</v>
      </c>
      <c r="C95" s="981">
        <v>2.1970000000000001</v>
      </c>
    </row>
    <row r="96" spans="1:3" x14ac:dyDescent="0.25">
      <c r="A96" s="981" t="s">
        <v>205</v>
      </c>
      <c r="B96" s="981" t="s">
        <v>48</v>
      </c>
      <c r="C96" s="981">
        <v>2.1880000000000002</v>
      </c>
    </row>
    <row r="97" spans="1:3" x14ac:dyDescent="0.25">
      <c r="A97" s="981" t="s">
        <v>205</v>
      </c>
      <c r="B97" s="981" t="s">
        <v>124</v>
      </c>
      <c r="C97" s="981">
        <v>2.101</v>
      </c>
    </row>
    <row r="98" spans="1:3" x14ac:dyDescent="0.25">
      <c r="A98" s="981" t="s">
        <v>205</v>
      </c>
      <c r="B98" s="981" t="s">
        <v>47</v>
      </c>
      <c r="C98" s="981">
        <v>2.052</v>
      </c>
    </row>
    <row r="99" spans="1:3" x14ac:dyDescent="0.25">
      <c r="A99" s="981" t="s">
        <v>205</v>
      </c>
      <c r="B99" s="981" t="s">
        <v>53</v>
      </c>
      <c r="C99" s="981">
        <v>2.0449999999999999</v>
      </c>
    </row>
    <row r="100" spans="1:3" x14ac:dyDescent="0.25">
      <c r="A100" s="981" t="s">
        <v>205</v>
      </c>
      <c r="B100" s="981" t="s">
        <v>32</v>
      </c>
      <c r="C100" s="981">
        <v>1.677</v>
      </c>
    </row>
    <row r="101" spans="1:3" x14ac:dyDescent="0.25">
      <c r="A101" s="981" t="s">
        <v>278</v>
      </c>
      <c r="B101" s="981" t="s">
        <v>37</v>
      </c>
      <c r="C101" s="981">
        <v>5.3010000000000002</v>
      </c>
    </row>
    <row r="102" spans="1:3" x14ac:dyDescent="0.25">
      <c r="A102" s="981" t="s">
        <v>278</v>
      </c>
      <c r="B102" s="981" t="s">
        <v>54</v>
      </c>
      <c r="C102" s="981">
        <v>4.8959999999999999</v>
      </c>
    </row>
    <row r="103" spans="1:3" x14ac:dyDescent="0.25">
      <c r="A103" s="981" t="s">
        <v>278</v>
      </c>
      <c r="B103" s="981" t="s">
        <v>45</v>
      </c>
      <c r="C103" s="981">
        <v>4.6349999999999998</v>
      </c>
    </row>
    <row r="104" spans="1:3" x14ac:dyDescent="0.25">
      <c r="A104" s="981" t="s">
        <v>278</v>
      </c>
      <c r="B104" s="981" t="s">
        <v>41</v>
      </c>
      <c r="C104" s="981">
        <v>4.0640000000000001</v>
      </c>
    </row>
    <row r="105" spans="1:3" x14ac:dyDescent="0.25">
      <c r="A105" s="981" t="s">
        <v>278</v>
      </c>
      <c r="B105" s="981" t="s">
        <v>47</v>
      </c>
      <c r="C105" s="981">
        <v>4.0129999999999999</v>
      </c>
    </row>
    <row r="106" spans="1:3" x14ac:dyDescent="0.25">
      <c r="A106" s="981" t="s">
        <v>278</v>
      </c>
      <c r="B106" s="981" t="s">
        <v>44</v>
      </c>
      <c r="C106" s="981">
        <v>3.996</v>
      </c>
    </row>
    <row r="107" spans="1:3" x14ac:dyDescent="0.25">
      <c r="A107" s="981" t="s">
        <v>278</v>
      </c>
      <c r="B107" s="981" t="s">
        <v>43</v>
      </c>
      <c r="C107" s="981">
        <v>3.6989999999999998</v>
      </c>
    </row>
    <row r="108" spans="1:3" x14ac:dyDescent="0.25">
      <c r="A108" s="981" t="s">
        <v>278</v>
      </c>
      <c r="B108" s="981" t="s">
        <v>33</v>
      </c>
      <c r="C108" s="981">
        <v>3.6280000000000001</v>
      </c>
    </row>
    <row r="109" spans="1:3" x14ac:dyDescent="0.25">
      <c r="A109" s="981" t="s">
        <v>278</v>
      </c>
      <c r="B109" s="981" t="s">
        <v>59</v>
      </c>
      <c r="C109" s="981">
        <v>3.532</v>
      </c>
    </row>
    <row r="110" spans="1:3" x14ac:dyDescent="0.25">
      <c r="A110" s="981" t="s">
        <v>278</v>
      </c>
      <c r="B110" s="981" t="s">
        <v>51</v>
      </c>
      <c r="C110" s="981">
        <v>3.5070000000000001</v>
      </c>
    </row>
    <row r="111" spans="1:3" x14ac:dyDescent="0.25">
      <c r="A111" s="981" t="s">
        <v>278</v>
      </c>
      <c r="B111" s="981" t="s">
        <v>55</v>
      </c>
      <c r="C111" s="981">
        <v>3.3220000000000001</v>
      </c>
    </row>
    <row r="112" spans="1:3" x14ac:dyDescent="0.25">
      <c r="A112" s="981" t="s">
        <v>278</v>
      </c>
      <c r="B112" s="981" t="s">
        <v>34</v>
      </c>
      <c r="C112" s="981">
        <v>3.254</v>
      </c>
    </row>
    <row r="113" spans="1:3" x14ac:dyDescent="0.25">
      <c r="A113" s="981" t="s">
        <v>278</v>
      </c>
      <c r="B113" s="981" t="s">
        <v>39</v>
      </c>
      <c r="C113" s="981">
        <v>2.996</v>
      </c>
    </row>
    <row r="114" spans="1:3" x14ac:dyDescent="0.25">
      <c r="A114" s="981" t="s">
        <v>278</v>
      </c>
      <c r="B114" s="981" t="s">
        <v>49</v>
      </c>
      <c r="C114" s="981">
        <v>2.8879999999999999</v>
      </c>
    </row>
    <row r="115" spans="1:3" x14ac:dyDescent="0.25">
      <c r="A115" s="981" t="s">
        <v>278</v>
      </c>
      <c r="B115" s="981" t="s">
        <v>36</v>
      </c>
      <c r="C115" s="981">
        <v>2.8340000000000001</v>
      </c>
    </row>
    <row r="116" spans="1:3" x14ac:dyDescent="0.25">
      <c r="A116" s="981" t="s">
        <v>278</v>
      </c>
      <c r="B116" s="981" t="s">
        <v>52</v>
      </c>
      <c r="C116" s="981">
        <v>2.7509999999999999</v>
      </c>
    </row>
    <row r="117" spans="1:3" x14ac:dyDescent="0.25">
      <c r="A117" s="981" t="s">
        <v>278</v>
      </c>
      <c r="B117" s="981" t="s">
        <v>56</v>
      </c>
      <c r="C117" s="981">
        <v>2.6850000000000001</v>
      </c>
    </row>
    <row r="118" spans="1:3" x14ac:dyDescent="0.25">
      <c r="A118" s="981" t="s">
        <v>278</v>
      </c>
      <c r="B118" s="981" t="s">
        <v>35</v>
      </c>
      <c r="C118" s="981">
        <v>2.605</v>
      </c>
    </row>
    <row r="119" spans="1:3" x14ac:dyDescent="0.25">
      <c r="A119" s="981" t="s">
        <v>278</v>
      </c>
      <c r="B119" s="981" t="s">
        <v>58</v>
      </c>
      <c r="C119" s="981">
        <v>2.5760000000000001</v>
      </c>
    </row>
    <row r="120" spans="1:3" x14ac:dyDescent="0.25">
      <c r="A120" s="981" t="s">
        <v>278</v>
      </c>
      <c r="B120" s="981" t="s">
        <v>40</v>
      </c>
      <c r="C120" s="981">
        <v>2.5150000000000001</v>
      </c>
    </row>
    <row r="121" spans="1:3" x14ac:dyDescent="0.25">
      <c r="A121" s="981" t="s">
        <v>278</v>
      </c>
      <c r="B121" s="981" t="s">
        <v>53</v>
      </c>
      <c r="C121" s="981">
        <v>2.4910000000000001</v>
      </c>
    </row>
    <row r="122" spans="1:3" x14ac:dyDescent="0.25">
      <c r="A122" s="981" t="s">
        <v>278</v>
      </c>
      <c r="B122" s="981" t="s">
        <v>46</v>
      </c>
      <c r="C122" s="981">
        <v>2.4580000000000002</v>
      </c>
    </row>
    <row r="123" spans="1:3" x14ac:dyDescent="0.25">
      <c r="A123" s="981" t="s">
        <v>278</v>
      </c>
      <c r="B123" s="981" t="s">
        <v>48</v>
      </c>
      <c r="C123" s="981">
        <v>2.3490000000000002</v>
      </c>
    </row>
    <row r="124" spans="1:3" x14ac:dyDescent="0.25">
      <c r="A124" s="981" t="s">
        <v>278</v>
      </c>
      <c r="B124" s="981" t="s">
        <v>57</v>
      </c>
      <c r="C124" s="981">
        <v>2.282</v>
      </c>
    </row>
    <row r="125" spans="1:3" x14ac:dyDescent="0.25">
      <c r="A125" s="981" t="s">
        <v>278</v>
      </c>
      <c r="B125" s="981" t="s">
        <v>50</v>
      </c>
      <c r="C125" s="981">
        <v>2.2709999999999999</v>
      </c>
    </row>
    <row r="126" spans="1:3" x14ac:dyDescent="0.25">
      <c r="A126" s="981" t="s">
        <v>278</v>
      </c>
      <c r="B126" s="981" t="s">
        <v>60</v>
      </c>
      <c r="C126" s="981">
        <v>2.2109999999999999</v>
      </c>
    </row>
    <row r="127" spans="1:3" x14ac:dyDescent="0.25">
      <c r="A127" s="981" t="s">
        <v>278</v>
      </c>
      <c r="B127" s="981" t="s">
        <v>38</v>
      </c>
      <c r="C127" s="981">
        <v>2.1739999999999999</v>
      </c>
    </row>
    <row r="128" spans="1:3" x14ac:dyDescent="0.25">
      <c r="A128" s="981" t="s">
        <v>278</v>
      </c>
      <c r="B128" s="981" t="s">
        <v>42</v>
      </c>
      <c r="C128" s="981">
        <v>2.101</v>
      </c>
    </row>
    <row r="129" spans="1:3" x14ac:dyDescent="0.25">
      <c r="A129" s="981" t="s">
        <v>278</v>
      </c>
      <c r="B129" s="981" t="s">
        <v>262</v>
      </c>
      <c r="C129" s="981">
        <v>2.0640000000000001</v>
      </c>
    </row>
    <row r="130" spans="1:3" x14ac:dyDescent="0.25">
      <c r="A130" s="981" t="s">
        <v>278</v>
      </c>
      <c r="B130" s="981" t="s">
        <v>32</v>
      </c>
      <c r="C130" s="981">
        <v>2.0049999999999999</v>
      </c>
    </row>
    <row r="131" spans="1:3" x14ac:dyDescent="0.25">
      <c r="A131" s="981" t="s">
        <v>278</v>
      </c>
      <c r="B131" s="981" t="s">
        <v>124</v>
      </c>
      <c r="C131" s="981">
        <v>1.956</v>
      </c>
    </row>
    <row r="132" spans="1:3" x14ac:dyDescent="0.25">
      <c r="A132" s="981" t="s">
        <v>278</v>
      </c>
      <c r="B132" s="981" t="s">
        <v>31</v>
      </c>
      <c r="C132" s="981">
        <v>1.645</v>
      </c>
    </row>
    <row r="133" spans="1:3" x14ac:dyDescent="0.25">
      <c r="A133" s="981" t="s">
        <v>259</v>
      </c>
      <c r="B133" s="981" t="s">
        <v>44</v>
      </c>
      <c r="C133" s="981">
        <v>4.4450000000000003</v>
      </c>
    </row>
    <row r="134" spans="1:3" x14ac:dyDescent="0.25">
      <c r="A134" s="981" t="s">
        <v>259</v>
      </c>
      <c r="B134" s="981" t="s">
        <v>54</v>
      </c>
      <c r="C134" s="981">
        <v>4.0999999999999996</v>
      </c>
    </row>
    <row r="135" spans="1:3" x14ac:dyDescent="0.25">
      <c r="A135" s="981" t="s">
        <v>259</v>
      </c>
      <c r="B135" s="981" t="s">
        <v>37</v>
      </c>
      <c r="C135" s="981">
        <v>3.9889999999999999</v>
      </c>
    </row>
    <row r="136" spans="1:3" x14ac:dyDescent="0.25">
      <c r="A136" s="981" t="s">
        <v>259</v>
      </c>
      <c r="B136" s="981" t="s">
        <v>45</v>
      </c>
      <c r="C136" s="981">
        <v>3.7989999999999999</v>
      </c>
    </row>
    <row r="137" spans="1:3" x14ac:dyDescent="0.25">
      <c r="A137" s="981" t="s">
        <v>259</v>
      </c>
      <c r="B137" s="981" t="s">
        <v>43</v>
      </c>
      <c r="C137" s="981">
        <v>3.718</v>
      </c>
    </row>
    <row r="138" spans="1:3" x14ac:dyDescent="0.25">
      <c r="A138" s="981" t="s">
        <v>259</v>
      </c>
      <c r="B138" s="981" t="s">
        <v>59</v>
      </c>
      <c r="C138" s="981">
        <v>3.7149999999999999</v>
      </c>
    </row>
    <row r="139" spans="1:3" x14ac:dyDescent="0.25">
      <c r="A139" s="981" t="s">
        <v>259</v>
      </c>
      <c r="B139" s="981" t="s">
        <v>34</v>
      </c>
      <c r="C139" s="981">
        <v>3.508</v>
      </c>
    </row>
    <row r="140" spans="1:3" x14ac:dyDescent="0.25">
      <c r="A140" s="981" t="s">
        <v>259</v>
      </c>
      <c r="B140" s="981" t="s">
        <v>51</v>
      </c>
      <c r="C140" s="981">
        <v>3.36</v>
      </c>
    </row>
    <row r="141" spans="1:3" x14ac:dyDescent="0.25">
      <c r="A141" s="981" t="s">
        <v>259</v>
      </c>
      <c r="B141" s="981" t="s">
        <v>41</v>
      </c>
      <c r="C141" s="981">
        <v>3.2730000000000001</v>
      </c>
    </row>
    <row r="142" spans="1:3" x14ac:dyDescent="0.25">
      <c r="A142" s="981" t="s">
        <v>259</v>
      </c>
      <c r="B142" s="981" t="s">
        <v>47</v>
      </c>
      <c r="C142" s="981">
        <v>3.2</v>
      </c>
    </row>
    <row r="143" spans="1:3" x14ac:dyDescent="0.25">
      <c r="A143" s="981" t="s">
        <v>259</v>
      </c>
      <c r="B143" s="981" t="s">
        <v>39</v>
      </c>
      <c r="C143" s="981">
        <v>3.0259999999999998</v>
      </c>
    </row>
    <row r="144" spans="1:3" x14ac:dyDescent="0.25">
      <c r="A144" s="981" t="s">
        <v>259</v>
      </c>
      <c r="B144" s="981" t="s">
        <v>53</v>
      </c>
      <c r="C144" s="981">
        <v>2.9470000000000001</v>
      </c>
    </row>
    <row r="145" spans="1:3" x14ac:dyDescent="0.25">
      <c r="A145" s="981" t="s">
        <v>259</v>
      </c>
      <c r="B145" s="981" t="s">
        <v>55</v>
      </c>
      <c r="C145" s="981">
        <v>2.907</v>
      </c>
    </row>
    <row r="146" spans="1:3" x14ac:dyDescent="0.25">
      <c r="A146" s="981" t="s">
        <v>259</v>
      </c>
      <c r="B146" s="981" t="s">
        <v>33</v>
      </c>
      <c r="C146" s="981">
        <v>2.8319999999999999</v>
      </c>
    </row>
    <row r="147" spans="1:3" x14ac:dyDescent="0.25">
      <c r="A147" s="981" t="s">
        <v>259</v>
      </c>
      <c r="B147" s="981" t="s">
        <v>36</v>
      </c>
      <c r="C147" s="981">
        <v>2.6120000000000001</v>
      </c>
    </row>
    <row r="148" spans="1:3" x14ac:dyDescent="0.25">
      <c r="A148" s="981" t="s">
        <v>259</v>
      </c>
      <c r="B148" s="981" t="s">
        <v>124</v>
      </c>
      <c r="C148" s="981">
        <v>2.605</v>
      </c>
    </row>
    <row r="149" spans="1:3" x14ac:dyDescent="0.25">
      <c r="A149" s="981" t="s">
        <v>259</v>
      </c>
      <c r="B149" s="981" t="s">
        <v>60</v>
      </c>
      <c r="C149" s="981">
        <v>2.5990000000000002</v>
      </c>
    </row>
    <row r="150" spans="1:3" x14ac:dyDescent="0.25">
      <c r="A150" s="981" t="s">
        <v>259</v>
      </c>
      <c r="B150" s="981" t="s">
        <v>49</v>
      </c>
      <c r="C150" s="981">
        <v>2.556</v>
      </c>
    </row>
    <row r="151" spans="1:3" x14ac:dyDescent="0.25">
      <c r="A151" s="981" t="s">
        <v>259</v>
      </c>
      <c r="B151" s="981" t="s">
        <v>46</v>
      </c>
      <c r="C151" s="981">
        <v>2.4990000000000001</v>
      </c>
    </row>
    <row r="152" spans="1:3" x14ac:dyDescent="0.25">
      <c r="A152" s="981" t="s">
        <v>259</v>
      </c>
      <c r="B152" s="981" t="s">
        <v>48</v>
      </c>
      <c r="C152" s="981">
        <v>2.3719999999999999</v>
      </c>
    </row>
    <row r="153" spans="1:3" x14ac:dyDescent="0.25">
      <c r="A153" s="981" t="s">
        <v>259</v>
      </c>
      <c r="B153" s="981" t="s">
        <v>56</v>
      </c>
      <c r="C153" s="981">
        <v>2.367</v>
      </c>
    </row>
    <row r="154" spans="1:3" x14ac:dyDescent="0.25">
      <c r="A154" s="981" t="s">
        <v>259</v>
      </c>
      <c r="B154" s="981" t="s">
        <v>57</v>
      </c>
      <c r="C154" s="981">
        <v>2.3439999999999999</v>
      </c>
    </row>
    <row r="155" spans="1:3" x14ac:dyDescent="0.25">
      <c r="A155" s="981" t="s">
        <v>259</v>
      </c>
      <c r="B155" s="981" t="s">
        <v>58</v>
      </c>
      <c r="C155" s="981">
        <v>2.327</v>
      </c>
    </row>
    <row r="156" spans="1:3" x14ac:dyDescent="0.25">
      <c r="A156" s="981" t="s">
        <v>259</v>
      </c>
      <c r="B156" s="981" t="s">
        <v>35</v>
      </c>
      <c r="C156" s="981">
        <v>2.3140000000000001</v>
      </c>
    </row>
    <row r="157" spans="1:3" x14ac:dyDescent="0.25">
      <c r="A157" s="981" t="s">
        <v>259</v>
      </c>
      <c r="B157" s="981" t="s">
        <v>40</v>
      </c>
      <c r="C157" s="981">
        <v>2.181</v>
      </c>
    </row>
    <row r="158" spans="1:3" x14ac:dyDescent="0.25">
      <c r="A158" s="981" t="s">
        <v>259</v>
      </c>
      <c r="B158" s="981" t="s">
        <v>50</v>
      </c>
      <c r="C158" s="981">
        <v>2.15</v>
      </c>
    </row>
    <row r="159" spans="1:3" x14ac:dyDescent="0.25">
      <c r="A159" s="981" t="s">
        <v>259</v>
      </c>
      <c r="B159" s="981" t="s">
        <v>42</v>
      </c>
      <c r="C159" s="981">
        <v>2.145</v>
      </c>
    </row>
    <row r="160" spans="1:3" x14ac:dyDescent="0.25">
      <c r="A160" s="981" t="s">
        <v>259</v>
      </c>
      <c r="B160" s="981" t="s">
        <v>52</v>
      </c>
      <c r="C160" s="981">
        <v>2.0859999999999999</v>
      </c>
    </row>
    <row r="161" spans="1:3" x14ac:dyDescent="0.25">
      <c r="A161" s="981" t="s">
        <v>259</v>
      </c>
      <c r="B161" s="981" t="s">
        <v>38</v>
      </c>
      <c r="C161" s="981">
        <v>1.976</v>
      </c>
    </row>
    <row r="162" spans="1:3" x14ac:dyDescent="0.25">
      <c r="A162" s="981" t="s">
        <v>259</v>
      </c>
      <c r="B162" s="981" t="s">
        <v>262</v>
      </c>
      <c r="C162" s="981">
        <v>1.8640000000000001</v>
      </c>
    </row>
    <row r="163" spans="1:3" x14ac:dyDescent="0.25">
      <c r="A163" s="981" t="s">
        <v>259</v>
      </c>
      <c r="B163" s="981" t="s">
        <v>31</v>
      </c>
      <c r="C163" s="981">
        <v>1.8380000000000001</v>
      </c>
    </row>
    <row r="164" spans="1:3" x14ac:dyDescent="0.25">
      <c r="A164" s="981" t="s">
        <v>259</v>
      </c>
      <c r="B164" s="981" t="s">
        <v>32</v>
      </c>
      <c r="C164" s="981">
        <v>1.8240000000000001</v>
      </c>
    </row>
    <row r="165" spans="1:3" x14ac:dyDescent="0.25">
      <c r="A165" s="981" t="s">
        <v>258</v>
      </c>
      <c r="B165" s="981" t="s">
        <v>37</v>
      </c>
      <c r="C165" s="981">
        <v>4.5540000000000003</v>
      </c>
    </row>
    <row r="166" spans="1:3" x14ac:dyDescent="0.25">
      <c r="A166" s="981" t="s">
        <v>258</v>
      </c>
      <c r="B166" s="981" t="s">
        <v>45</v>
      </c>
      <c r="C166" s="981">
        <v>3.9220000000000002</v>
      </c>
    </row>
    <row r="167" spans="1:3" x14ac:dyDescent="0.25">
      <c r="A167" s="981" t="s">
        <v>258</v>
      </c>
      <c r="B167" s="981" t="s">
        <v>47</v>
      </c>
      <c r="C167" s="981">
        <v>3.681</v>
      </c>
    </row>
    <row r="168" spans="1:3" x14ac:dyDescent="0.25">
      <c r="A168" s="981" t="s">
        <v>258</v>
      </c>
      <c r="B168" s="981" t="s">
        <v>54</v>
      </c>
      <c r="C168" s="981">
        <v>3.641</v>
      </c>
    </row>
    <row r="169" spans="1:3" x14ac:dyDescent="0.25">
      <c r="A169" s="981" t="s">
        <v>258</v>
      </c>
      <c r="B169" s="981" t="s">
        <v>43</v>
      </c>
      <c r="C169" s="981">
        <v>3.5049999999999999</v>
      </c>
    </row>
    <row r="170" spans="1:3" x14ac:dyDescent="0.25">
      <c r="A170" s="981" t="s">
        <v>258</v>
      </c>
      <c r="B170" s="981" t="s">
        <v>59</v>
      </c>
      <c r="C170" s="981">
        <v>3.4580000000000002</v>
      </c>
    </row>
    <row r="171" spans="1:3" x14ac:dyDescent="0.25">
      <c r="A171" s="981" t="s">
        <v>258</v>
      </c>
      <c r="B171" s="981" t="s">
        <v>124</v>
      </c>
      <c r="C171" s="981">
        <v>3.2280000000000002</v>
      </c>
    </row>
    <row r="172" spans="1:3" x14ac:dyDescent="0.25">
      <c r="A172" s="981" t="s">
        <v>258</v>
      </c>
      <c r="B172" s="981" t="s">
        <v>44</v>
      </c>
      <c r="C172" s="981">
        <v>3.2010000000000001</v>
      </c>
    </row>
    <row r="173" spans="1:3" x14ac:dyDescent="0.25">
      <c r="A173" s="981" t="s">
        <v>258</v>
      </c>
      <c r="B173" s="981" t="s">
        <v>33</v>
      </c>
      <c r="C173" s="981">
        <v>3.13</v>
      </c>
    </row>
    <row r="174" spans="1:3" x14ac:dyDescent="0.25">
      <c r="A174" s="981" t="s">
        <v>258</v>
      </c>
      <c r="B174" s="981" t="s">
        <v>34</v>
      </c>
      <c r="C174" s="981">
        <v>3.0609999999999999</v>
      </c>
    </row>
    <row r="175" spans="1:3" x14ac:dyDescent="0.25">
      <c r="A175" s="981" t="s">
        <v>258</v>
      </c>
      <c r="B175" s="981" t="s">
        <v>60</v>
      </c>
      <c r="C175" s="981">
        <v>2.907</v>
      </c>
    </row>
    <row r="176" spans="1:3" x14ac:dyDescent="0.25">
      <c r="A176" s="981" t="s">
        <v>258</v>
      </c>
      <c r="B176" s="981" t="s">
        <v>41</v>
      </c>
      <c r="C176" s="981">
        <v>2.8170000000000002</v>
      </c>
    </row>
    <row r="177" spans="1:3" x14ac:dyDescent="0.25">
      <c r="A177" s="981" t="s">
        <v>258</v>
      </c>
      <c r="B177" s="981" t="s">
        <v>39</v>
      </c>
      <c r="C177" s="981">
        <v>2.637</v>
      </c>
    </row>
    <row r="178" spans="1:3" x14ac:dyDescent="0.25">
      <c r="A178" s="981" t="s">
        <v>258</v>
      </c>
      <c r="B178" s="981" t="s">
        <v>55</v>
      </c>
      <c r="C178" s="981">
        <v>2.6259999999999999</v>
      </c>
    </row>
    <row r="179" spans="1:3" x14ac:dyDescent="0.25">
      <c r="A179" s="981" t="s">
        <v>258</v>
      </c>
      <c r="B179" s="981" t="s">
        <v>48</v>
      </c>
      <c r="C179" s="981">
        <v>2.6179999999999999</v>
      </c>
    </row>
    <row r="180" spans="1:3" x14ac:dyDescent="0.25">
      <c r="A180" s="981" t="s">
        <v>258</v>
      </c>
      <c r="B180" s="981" t="s">
        <v>51</v>
      </c>
      <c r="C180" s="981">
        <v>2.5750000000000002</v>
      </c>
    </row>
    <row r="181" spans="1:3" x14ac:dyDescent="0.25">
      <c r="A181" s="981" t="s">
        <v>258</v>
      </c>
      <c r="B181" s="981" t="s">
        <v>42</v>
      </c>
      <c r="C181" s="981">
        <v>2.484</v>
      </c>
    </row>
    <row r="182" spans="1:3" x14ac:dyDescent="0.25">
      <c r="A182" s="981" t="s">
        <v>258</v>
      </c>
      <c r="B182" s="981" t="s">
        <v>46</v>
      </c>
      <c r="C182" s="981">
        <v>2.4620000000000002</v>
      </c>
    </row>
    <row r="183" spans="1:3" x14ac:dyDescent="0.25">
      <c r="A183" s="981" t="s">
        <v>258</v>
      </c>
      <c r="B183" s="981" t="s">
        <v>35</v>
      </c>
      <c r="C183" s="981">
        <v>2.41</v>
      </c>
    </row>
    <row r="184" spans="1:3" x14ac:dyDescent="0.25">
      <c r="A184" s="981" t="s">
        <v>258</v>
      </c>
      <c r="B184" s="981" t="s">
        <v>57</v>
      </c>
      <c r="C184" s="981">
        <v>2.3420000000000001</v>
      </c>
    </row>
    <row r="185" spans="1:3" x14ac:dyDescent="0.25">
      <c r="A185" s="981" t="s">
        <v>258</v>
      </c>
      <c r="B185" s="981" t="s">
        <v>36</v>
      </c>
      <c r="C185" s="981">
        <v>2.3380000000000001</v>
      </c>
    </row>
    <row r="186" spans="1:3" x14ac:dyDescent="0.25">
      <c r="A186" s="981" t="s">
        <v>258</v>
      </c>
      <c r="B186" s="981" t="s">
        <v>31</v>
      </c>
      <c r="C186" s="981">
        <v>2.3239999999999998</v>
      </c>
    </row>
    <row r="187" spans="1:3" x14ac:dyDescent="0.25">
      <c r="A187" s="981" t="s">
        <v>258</v>
      </c>
      <c r="B187" s="981" t="s">
        <v>49</v>
      </c>
      <c r="C187" s="981">
        <v>2.3210000000000002</v>
      </c>
    </row>
    <row r="188" spans="1:3" x14ac:dyDescent="0.25">
      <c r="A188" s="981" t="s">
        <v>258</v>
      </c>
      <c r="B188" s="981" t="s">
        <v>58</v>
      </c>
      <c r="C188" s="981">
        <v>2.2509999999999999</v>
      </c>
    </row>
    <row r="189" spans="1:3" x14ac:dyDescent="0.25">
      <c r="A189" s="981" t="s">
        <v>258</v>
      </c>
      <c r="B189" s="981" t="s">
        <v>53</v>
      </c>
      <c r="C189" s="981">
        <v>2.1640000000000001</v>
      </c>
    </row>
    <row r="190" spans="1:3" x14ac:dyDescent="0.25">
      <c r="A190" s="981" t="s">
        <v>258</v>
      </c>
      <c r="B190" s="981" t="s">
        <v>50</v>
      </c>
      <c r="C190" s="981">
        <v>2.1019999999999999</v>
      </c>
    </row>
    <row r="191" spans="1:3" x14ac:dyDescent="0.25">
      <c r="A191" s="981" t="s">
        <v>258</v>
      </c>
      <c r="B191" s="981" t="s">
        <v>52</v>
      </c>
      <c r="C191" s="981">
        <v>2.0259999999999998</v>
      </c>
    </row>
    <row r="192" spans="1:3" x14ac:dyDescent="0.25">
      <c r="A192" s="981" t="s">
        <v>258</v>
      </c>
      <c r="B192" s="981" t="s">
        <v>56</v>
      </c>
      <c r="C192" s="981">
        <v>2.0259999999999998</v>
      </c>
    </row>
    <row r="193" spans="1:3" x14ac:dyDescent="0.25">
      <c r="A193" s="981" t="s">
        <v>258</v>
      </c>
      <c r="B193" s="981" t="s">
        <v>40</v>
      </c>
      <c r="C193" s="981">
        <v>2.004</v>
      </c>
    </row>
    <row r="194" spans="1:3" x14ac:dyDescent="0.25">
      <c r="A194" s="981" t="s">
        <v>258</v>
      </c>
      <c r="B194" s="981" t="s">
        <v>38</v>
      </c>
      <c r="C194" s="981">
        <v>1.843</v>
      </c>
    </row>
    <row r="195" spans="1:3" x14ac:dyDescent="0.25">
      <c r="A195" s="981" t="s">
        <v>258</v>
      </c>
      <c r="B195" s="981" t="s">
        <v>262</v>
      </c>
      <c r="C195" s="981">
        <v>1.7849999999999999</v>
      </c>
    </row>
    <row r="196" spans="1:3" x14ac:dyDescent="0.25">
      <c r="A196" s="981" t="s">
        <v>258</v>
      </c>
      <c r="B196" s="981" t="s">
        <v>32</v>
      </c>
      <c r="C196" s="981">
        <v>1.4970000000000001</v>
      </c>
    </row>
  </sheetData>
  <pageMargins left="0.7" right="0.7" top="0.75" bottom="0.75" header="0.3" footer="0.3"/>
  <pageSetup paperSize="9" fitToHeight="50"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4:S200"/>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12" x14ac:dyDescent="0.25">
      <c r="A4" s="980" t="s">
        <v>334</v>
      </c>
      <c r="B4" s="980" t="s">
        <v>26</v>
      </c>
      <c r="C4" s="980" t="s">
        <v>1039</v>
      </c>
      <c r="D4" s="980" t="s">
        <v>1040</v>
      </c>
      <c r="E4" s="980" t="s">
        <v>1041</v>
      </c>
    </row>
    <row r="5" spans="1:12" x14ac:dyDescent="0.25">
      <c r="A5" s="981" t="s">
        <v>206</v>
      </c>
      <c r="B5" s="981">
        <v>11892</v>
      </c>
      <c r="C5" s="981">
        <v>8206</v>
      </c>
      <c r="D5" s="981">
        <v>2038</v>
      </c>
      <c r="E5" s="981">
        <v>1648</v>
      </c>
    </row>
    <row r="6" spans="1:12" x14ac:dyDescent="0.25">
      <c r="A6" s="981" t="s">
        <v>205</v>
      </c>
      <c r="B6" s="981">
        <v>15708</v>
      </c>
      <c r="C6" s="981">
        <v>9834</v>
      </c>
      <c r="D6" s="981">
        <v>3501</v>
      </c>
      <c r="E6" s="981">
        <v>2373</v>
      </c>
    </row>
    <row r="7" spans="1:12" x14ac:dyDescent="0.25">
      <c r="A7" s="981" t="s">
        <v>278</v>
      </c>
      <c r="B7" s="981">
        <v>12982</v>
      </c>
      <c r="C7" s="981">
        <v>8939</v>
      </c>
      <c r="D7" s="981">
        <v>2582</v>
      </c>
      <c r="E7" s="981">
        <v>1461</v>
      </c>
    </row>
    <row r="8" spans="1:12" x14ac:dyDescent="0.25">
      <c r="A8" s="981" t="s">
        <v>259</v>
      </c>
      <c r="B8" s="981">
        <v>13468</v>
      </c>
      <c r="C8" s="981">
        <v>7635</v>
      </c>
      <c r="D8" s="981">
        <v>3241</v>
      </c>
      <c r="E8" s="981">
        <v>2592</v>
      </c>
    </row>
    <row r="9" spans="1:12" x14ac:dyDescent="0.25">
      <c r="A9" s="981" t="s">
        <v>258</v>
      </c>
      <c r="B9" s="981">
        <v>12591</v>
      </c>
      <c r="C9" s="981">
        <v>7872</v>
      </c>
      <c r="D9" s="981">
        <v>2746</v>
      </c>
      <c r="E9" s="981">
        <v>1973</v>
      </c>
    </row>
    <row r="15" spans="1:12" x14ac:dyDescent="0.25">
      <c r="A15" s="983" t="s">
        <v>1045</v>
      </c>
      <c r="B15" s="983" t="s">
        <v>1046</v>
      </c>
      <c r="C15" s="983" t="s">
        <v>26</v>
      </c>
      <c r="D15" s="983" t="s">
        <v>1047</v>
      </c>
      <c r="E15" s="983" t="s">
        <v>984</v>
      </c>
      <c r="F15" s="983" t="s">
        <v>330</v>
      </c>
      <c r="G15" s="983" t="s">
        <v>208</v>
      </c>
      <c r="H15" s="983" t="s">
        <v>206</v>
      </c>
      <c r="I15" s="983" t="s">
        <v>205</v>
      </c>
      <c r="J15" s="983" t="s">
        <v>278</v>
      </c>
      <c r="K15" s="983" t="s">
        <v>259</v>
      </c>
      <c r="L15" s="983" t="s">
        <v>258</v>
      </c>
    </row>
    <row r="16" spans="1:12" x14ac:dyDescent="0.25">
      <c r="A16" s="981" t="s">
        <v>1042</v>
      </c>
      <c r="B16" s="981" t="s">
        <v>1043</v>
      </c>
      <c r="C16" s="985">
        <v>42486</v>
      </c>
      <c r="D16" s="981"/>
      <c r="E16" s="981"/>
      <c r="F16" s="981"/>
      <c r="G16" s="981"/>
      <c r="H16" s="985">
        <v>8206</v>
      </c>
      <c r="I16" s="985">
        <v>9834</v>
      </c>
      <c r="J16" s="985">
        <v>8939</v>
      </c>
      <c r="K16" s="985">
        <v>7635</v>
      </c>
      <c r="L16" s="985">
        <v>7872</v>
      </c>
    </row>
    <row r="17" spans="1:12" x14ac:dyDescent="0.25">
      <c r="A17" s="981" t="s">
        <v>442</v>
      </c>
      <c r="B17" s="981" t="s">
        <v>146</v>
      </c>
      <c r="C17" s="985">
        <v>471</v>
      </c>
      <c r="D17" s="985">
        <v>136</v>
      </c>
      <c r="E17" s="985">
        <v>236</v>
      </c>
      <c r="F17" s="985">
        <v>197</v>
      </c>
      <c r="G17" s="985">
        <v>217</v>
      </c>
      <c r="H17" s="985">
        <v>334</v>
      </c>
      <c r="I17" s="985">
        <v>451</v>
      </c>
      <c r="J17" s="985">
        <v>396</v>
      </c>
      <c r="K17" s="985">
        <v>367</v>
      </c>
      <c r="L17" s="985">
        <v>471</v>
      </c>
    </row>
    <row r="18" spans="1:12" x14ac:dyDescent="0.25">
      <c r="A18" s="981" t="s">
        <v>443</v>
      </c>
      <c r="B18" s="981" t="s">
        <v>147</v>
      </c>
      <c r="C18" s="985">
        <v>972</v>
      </c>
      <c r="D18" s="985">
        <v>972</v>
      </c>
      <c r="E18" s="985">
        <v>1212</v>
      </c>
      <c r="F18" s="985">
        <v>1286</v>
      </c>
      <c r="G18" s="985">
        <v>1454</v>
      </c>
      <c r="H18" s="985">
        <v>1506</v>
      </c>
      <c r="I18" s="985">
        <v>1760</v>
      </c>
      <c r="J18" s="985">
        <v>1719</v>
      </c>
      <c r="K18" s="985">
        <v>1653</v>
      </c>
      <c r="L18" s="985">
        <v>1775</v>
      </c>
    </row>
    <row r="19" spans="1:12" x14ac:dyDescent="0.25">
      <c r="A19" s="981" t="s">
        <v>444</v>
      </c>
      <c r="B19" s="981" t="s">
        <v>163</v>
      </c>
      <c r="C19" s="985">
        <v>3062</v>
      </c>
      <c r="D19" s="981"/>
      <c r="E19" s="981"/>
      <c r="F19" s="981"/>
      <c r="G19" s="981"/>
      <c r="H19" s="985">
        <v>1947</v>
      </c>
      <c r="I19" s="985">
        <v>3062</v>
      </c>
      <c r="J19" s="985">
        <v>2650</v>
      </c>
      <c r="K19" s="985">
        <v>2077</v>
      </c>
      <c r="L19" s="985">
        <v>1862</v>
      </c>
    </row>
    <row r="20" spans="1:12" x14ac:dyDescent="0.25">
      <c r="A20" s="981" t="s">
        <v>445</v>
      </c>
      <c r="B20" s="981" t="s">
        <v>148</v>
      </c>
      <c r="C20" s="985">
        <v>88</v>
      </c>
      <c r="D20" s="985">
        <v>137</v>
      </c>
      <c r="E20" s="985">
        <v>126</v>
      </c>
      <c r="F20" s="985">
        <v>138</v>
      </c>
      <c r="G20" s="985">
        <v>296</v>
      </c>
      <c r="H20" s="985">
        <v>138</v>
      </c>
      <c r="I20" s="985">
        <v>119</v>
      </c>
      <c r="J20" s="985">
        <v>128</v>
      </c>
      <c r="K20" s="985">
        <v>104</v>
      </c>
      <c r="L20" s="985">
        <v>88</v>
      </c>
    </row>
    <row r="21" spans="1:12" x14ac:dyDescent="0.25">
      <c r="A21" s="981" t="s">
        <v>446</v>
      </c>
      <c r="B21" s="981" t="s">
        <v>149</v>
      </c>
      <c r="C21" s="985">
        <v>1761</v>
      </c>
      <c r="D21" s="985">
        <v>1117</v>
      </c>
      <c r="E21" s="985">
        <v>1077</v>
      </c>
      <c r="F21" s="985">
        <v>1081</v>
      </c>
      <c r="G21" s="985">
        <v>1761</v>
      </c>
      <c r="H21" s="985">
        <v>1109</v>
      </c>
      <c r="I21" s="985">
        <v>1263</v>
      </c>
      <c r="J21" s="985">
        <v>1138</v>
      </c>
      <c r="K21" s="985">
        <v>1167</v>
      </c>
      <c r="L21" s="985">
        <v>1030</v>
      </c>
    </row>
    <row r="22" spans="1:12" x14ac:dyDescent="0.25">
      <c r="A22" s="981" t="s">
        <v>447</v>
      </c>
      <c r="B22" s="981" t="s">
        <v>150</v>
      </c>
      <c r="C22" s="985">
        <v>430</v>
      </c>
      <c r="D22" s="985">
        <v>284</v>
      </c>
      <c r="E22" s="985">
        <v>395</v>
      </c>
      <c r="F22" s="985">
        <v>430</v>
      </c>
      <c r="G22" s="985">
        <v>415</v>
      </c>
      <c r="H22" s="985">
        <v>251</v>
      </c>
      <c r="I22" s="985">
        <v>351</v>
      </c>
      <c r="J22" s="985">
        <v>371</v>
      </c>
      <c r="K22" s="985">
        <v>408</v>
      </c>
      <c r="L22" s="985">
        <v>323</v>
      </c>
    </row>
    <row r="23" spans="1:12" x14ac:dyDescent="0.25">
      <c r="A23" s="981" t="s">
        <v>448</v>
      </c>
      <c r="B23" s="981" t="s">
        <v>151</v>
      </c>
      <c r="C23" s="985">
        <v>62</v>
      </c>
      <c r="D23" s="985">
        <v>48</v>
      </c>
      <c r="E23" s="985">
        <v>49</v>
      </c>
      <c r="F23" s="985">
        <v>49</v>
      </c>
      <c r="G23" s="985">
        <v>62</v>
      </c>
      <c r="H23" s="985">
        <v>28</v>
      </c>
      <c r="I23" s="985">
        <v>36</v>
      </c>
      <c r="J23" s="985">
        <v>21</v>
      </c>
      <c r="K23" s="985">
        <v>37</v>
      </c>
      <c r="L23" s="985">
        <v>31</v>
      </c>
    </row>
    <row r="24" spans="1:12" x14ac:dyDescent="0.25">
      <c r="A24" s="981" t="s">
        <v>449</v>
      </c>
      <c r="B24" s="981" t="s">
        <v>152</v>
      </c>
      <c r="C24" s="985">
        <v>77</v>
      </c>
      <c r="D24" s="985">
        <v>68</v>
      </c>
      <c r="E24" s="985">
        <v>74</v>
      </c>
      <c r="F24" s="985">
        <v>77</v>
      </c>
      <c r="G24" s="985">
        <v>58</v>
      </c>
      <c r="H24" s="985">
        <v>68</v>
      </c>
      <c r="I24" s="985">
        <v>49</v>
      </c>
      <c r="J24" s="985">
        <v>66</v>
      </c>
      <c r="K24" s="985">
        <v>59</v>
      </c>
      <c r="L24" s="985">
        <v>60</v>
      </c>
    </row>
    <row r="25" spans="1:12" x14ac:dyDescent="0.25">
      <c r="A25" s="981" t="s">
        <v>450</v>
      </c>
      <c r="B25" s="981" t="s">
        <v>153</v>
      </c>
      <c r="C25" s="985">
        <v>794</v>
      </c>
      <c r="D25" s="985">
        <v>794</v>
      </c>
      <c r="E25" s="985">
        <v>1016</v>
      </c>
      <c r="F25" s="985">
        <v>1014</v>
      </c>
      <c r="G25" s="985">
        <v>670</v>
      </c>
      <c r="H25" s="985">
        <v>596</v>
      </c>
      <c r="I25" s="985">
        <v>494</v>
      </c>
      <c r="J25" s="985">
        <v>482</v>
      </c>
      <c r="K25" s="985">
        <v>332</v>
      </c>
      <c r="L25" s="985">
        <v>374</v>
      </c>
    </row>
    <row r="26" spans="1:12" x14ac:dyDescent="0.25">
      <c r="A26" s="981" t="s">
        <v>451</v>
      </c>
      <c r="B26" s="981" t="s">
        <v>154</v>
      </c>
      <c r="C26" s="985">
        <v>470</v>
      </c>
      <c r="D26" s="985">
        <v>433</v>
      </c>
      <c r="E26" s="985">
        <v>264</v>
      </c>
      <c r="F26" s="985">
        <v>291</v>
      </c>
      <c r="G26" s="985">
        <v>231</v>
      </c>
      <c r="H26" s="985">
        <v>260</v>
      </c>
      <c r="I26" s="985">
        <v>228</v>
      </c>
      <c r="J26" s="985">
        <v>363</v>
      </c>
      <c r="K26" s="985">
        <v>268</v>
      </c>
      <c r="L26" s="985">
        <v>470</v>
      </c>
    </row>
    <row r="27" spans="1:12" x14ac:dyDescent="0.25">
      <c r="A27" s="981" t="s">
        <v>452</v>
      </c>
      <c r="B27" s="981" t="s">
        <v>155</v>
      </c>
      <c r="C27" s="985">
        <v>683</v>
      </c>
      <c r="D27" s="985">
        <v>1038</v>
      </c>
      <c r="E27" s="985">
        <v>1082</v>
      </c>
      <c r="F27" s="985">
        <v>1619</v>
      </c>
      <c r="G27" s="985">
        <v>1294</v>
      </c>
      <c r="H27" s="985">
        <v>683</v>
      </c>
      <c r="I27" s="985">
        <v>639</v>
      </c>
      <c r="J27" s="985">
        <v>523</v>
      </c>
      <c r="K27" s="985">
        <v>362</v>
      </c>
      <c r="L27" s="985">
        <v>382</v>
      </c>
    </row>
    <row r="28" spans="1:12" x14ac:dyDescent="0.25">
      <c r="A28" s="981" t="s">
        <v>453</v>
      </c>
      <c r="B28" s="981" t="s">
        <v>156</v>
      </c>
      <c r="C28" s="985">
        <v>399</v>
      </c>
      <c r="D28" s="985">
        <v>287</v>
      </c>
      <c r="E28" s="985">
        <v>328</v>
      </c>
      <c r="F28" s="985">
        <v>260</v>
      </c>
      <c r="G28" s="985">
        <v>399</v>
      </c>
      <c r="H28" s="985">
        <v>356</v>
      </c>
      <c r="I28" s="985">
        <v>320</v>
      </c>
      <c r="J28" s="985">
        <v>235</v>
      </c>
      <c r="K28" s="985">
        <v>240</v>
      </c>
      <c r="L28" s="985">
        <v>283</v>
      </c>
    </row>
    <row r="29" spans="1:12" x14ac:dyDescent="0.25">
      <c r="A29" s="981" t="s">
        <v>454</v>
      </c>
      <c r="B29" s="981" t="s">
        <v>157</v>
      </c>
      <c r="C29" s="985">
        <v>485</v>
      </c>
      <c r="D29" s="985">
        <v>282</v>
      </c>
      <c r="E29" s="985">
        <v>304</v>
      </c>
      <c r="F29" s="985">
        <v>288</v>
      </c>
      <c r="G29" s="985">
        <v>408</v>
      </c>
      <c r="H29" s="985">
        <v>412</v>
      </c>
      <c r="I29" s="985">
        <v>485</v>
      </c>
      <c r="J29" s="985">
        <v>329</v>
      </c>
      <c r="K29" s="985">
        <v>228</v>
      </c>
      <c r="L29" s="985">
        <v>267</v>
      </c>
    </row>
    <row r="30" spans="1:12" x14ac:dyDescent="0.25">
      <c r="A30" s="981" t="s">
        <v>455</v>
      </c>
      <c r="B30" s="981" t="s">
        <v>158</v>
      </c>
      <c r="C30" s="985">
        <v>483</v>
      </c>
      <c r="D30" s="985">
        <v>311</v>
      </c>
      <c r="E30" s="985">
        <v>405</v>
      </c>
      <c r="F30" s="985">
        <v>483</v>
      </c>
      <c r="G30" s="985">
        <v>389</v>
      </c>
      <c r="H30" s="985">
        <v>344</v>
      </c>
      <c r="I30" s="985">
        <v>379</v>
      </c>
      <c r="J30" s="985">
        <v>275</v>
      </c>
      <c r="K30" s="985">
        <v>220</v>
      </c>
      <c r="L30" s="985">
        <v>267</v>
      </c>
    </row>
    <row r="31" spans="1:12" x14ac:dyDescent="0.25">
      <c r="A31" s="981" t="s">
        <v>456</v>
      </c>
      <c r="B31" s="981" t="s">
        <v>1044</v>
      </c>
      <c r="C31" s="985">
        <v>342</v>
      </c>
      <c r="D31" s="985">
        <v>154</v>
      </c>
      <c r="E31" s="985">
        <v>176</v>
      </c>
      <c r="F31" s="985">
        <v>342</v>
      </c>
      <c r="G31" s="985">
        <v>340</v>
      </c>
      <c r="H31" s="985">
        <v>174</v>
      </c>
      <c r="I31" s="985">
        <v>198</v>
      </c>
      <c r="J31" s="985">
        <v>243</v>
      </c>
      <c r="K31" s="985">
        <v>113</v>
      </c>
      <c r="L31" s="985">
        <v>189</v>
      </c>
    </row>
    <row r="40" spans="1:19" x14ac:dyDescent="0.25">
      <c r="A40" s="983" t="s">
        <v>883</v>
      </c>
      <c r="B40" s="983" t="s">
        <v>1033</v>
      </c>
      <c r="C40" s="983" t="s">
        <v>334</v>
      </c>
      <c r="D40" s="983" t="s">
        <v>1048</v>
      </c>
      <c r="E40" s="983" t="s">
        <v>147</v>
      </c>
      <c r="F40" s="983" t="s">
        <v>157</v>
      </c>
      <c r="G40" s="983" t="s">
        <v>151</v>
      </c>
      <c r="H40" s="983" t="s">
        <v>163</v>
      </c>
      <c r="I40" s="983" t="s">
        <v>146</v>
      </c>
      <c r="J40" s="983" t="s">
        <v>148</v>
      </c>
      <c r="K40" s="983" t="s">
        <v>149</v>
      </c>
      <c r="L40" s="983" t="s">
        <v>153</v>
      </c>
      <c r="M40" s="983" t="s">
        <v>158</v>
      </c>
      <c r="N40" s="983" t="s">
        <v>156</v>
      </c>
      <c r="O40" s="983" t="s">
        <v>150</v>
      </c>
      <c r="P40" s="983" t="s">
        <v>1044</v>
      </c>
      <c r="Q40" s="983" t="s">
        <v>152</v>
      </c>
      <c r="R40" s="983" t="s">
        <v>154</v>
      </c>
      <c r="S40" s="983" t="s">
        <v>155</v>
      </c>
    </row>
    <row r="41" spans="1:19" x14ac:dyDescent="0.25">
      <c r="A41" s="981" t="s">
        <v>31</v>
      </c>
      <c r="B41" s="981" t="s">
        <v>306</v>
      </c>
      <c r="C41" s="981" t="s">
        <v>206</v>
      </c>
      <c r="D41" s="981">
        <v>369</v>
      </c>
      <c r="E41" s="981">
        <v>71</v>
      </c>
      <c r="F41" s="981">
        <v>1</v>
      </c>
      <c r="G41" s="981">
        <v>4</v>
      </c>
      <c r="H41" s="981">
        <v>164</v>
      </c>
      <c r="I41" s="981">
        <v>4</v>
      </c>
      <c r="J41" s="981">
        <v>2</v>
      </c>
      <c r="K41" s="981">
        <v>72</v>
      </c>
      <c r="L41" s="981">
        <v>27</v>
      </c>
      <c r="M41" s="981">
        <v>2</v>
      </c>
      <c r="N41" s="981">
        <v>6</v>
      </c>
      <c r="O41" s="981">
        <v>3</v>
      </c>
      <c r="P41" s="981">
        <v>6</v>
      </c>
      <c r="Q41" s="981"/>
      <c r="R41" s="981">
        <v>1</v>
      </c>
      <c r="S41" s="981">
        <v>6</v>
      </c>
    </row>
    <row r="42" spans="1:19" x14ac:dyDescent="0.25">
      <c r="A42" s="981" t="s">
        <v>31</v>
      </c>
      <c r="B42" s="981" t="s">
        <v>306</v>
      </c>
      <c r="C42" s="981" t="s">
        <v>205</v>
      </c>
      <c r="D42" s="981">
        <v>315</v>
      </c>
      <c r="E42" s="981">
        <v>41</v>
      </c>
      <c r="F42" s="981"/>
      <c r="G42" s="981">
        <v>5</v>
      </c>
      <c r="H42" s="981">
        <v>192</v>
      </c>
      <c r="I42" s="981">
        <v>23</v>
      </c>
      <c r="J42" s="981">
        <v>2</v>
      </c>
      <c r="K42" s="981">
        <v>25</v>
      </c>
      <c r="L42" s="981">
        <v>10</v>
      </c>
      <c r="M42" s="981">
        <v>1</v>
      </c>
      <c r="N42" s="981">
        <v>7</v>
      </c>
      <c r="O42" s="981">
        <v>2</v>
      </c>
      <c r="P42" s="981">
        <v>5</v>
      </c>
      <c r="Q42" s="981"/>
      <c r="R42" s="981">
        <v>1</v>
      </c>
      <c r="S42" s="981">
        <v>1</v>
      </c>
    </row>
    <row r="43" spans="1:19" x14ac:dyDescent="0.25">
      <c r="A43" s="981" t="s">
        <v>31</v>
      </c>
      <c r="B43" s="981" t="s">
        <v>306</v>
      </c>
      <c r="C43" s="981" t="s">
        <v>278</v>
      </c>
      <c r="D43" s="981">
        <v>435</v>
      </c>
      <c r="E43" s="981">
        <v>103</v>
      </c>
      <c r="F43" s="981">
        <v>2</v>
      </c>
      <c r="G43" s="981"/>
      <c r="H43" s="981">
        <v>219</v>
      </c>
      <c r="I43" s="981">
        <v>21</v>
      </c>
      <c r="J43" s="981">
        <v>2</v>
      </c>
      <c r="K43" s="981">
        <v>50</v>
      </c>
      <c r="L43" s="981">
        <v>10</v>
      </c>
      <c r="M43" s="981">
        <v>5</v>
      </c>
      <c r="N43" s="981">
        <v>6</v>
      </c>
      <c r="O43" s="981">
        <v>4</v>
      </c>
      <c r="P43" s="981">
        <v>2</v>
      </c>
      <c r="Q43" s="981">
        <v>1</v>
      </c>
      <c r="R43" s="981">
        <v>4</v>
      </c>
      <c r="S43" s="981">
        <v>6</v>
      </c>
    </row>
    <row r="44" spans="1:19" x14ac:dyDescent="0.25">
      <c r="A44" s="981" t="s">
        <v>31</v>
      </c>
      <c r="B44" s="981" t="s">
        <v>306</v>
      </c>
      <c r="C44" s="981" t="s">
        <v>259</v>
      </c>
      <c r="D44" s="981">
        <v>315</v>
      </c>
      <c r="E44" s="981">
        <v>46</v>
      </c>
      <c r="F44" s="981">
        <v>6</v>
      </c>
      <c r="G44" s="981">
        <v>3</v>
      </c>
      <c r="H44" s="981">
        <v>170</v>
      </c>
      <c r="I44" s="981">
        <v>13</v>
      </c>
      <c r="J44" s="981">
        <v>1</v>
      </c>
      <c r="K44" s="981">
        <v>35</v>
      </c>
      <c r="L44" s="981">
        <v>9</v>
      </c>
      <c r="M44" s="981">
        <v>5</v>
      </c>
      <c r="N44" s="981">
        <v>6</v>
      </c>
      <c r="O44" s="981">
        <v>1</v>
      </c>
      <c r="P44" s="981">
        <v>4</v>
      </c>
      <c r="Q44" s="981">
        <v>1</v>
      </c>
      <c r="R44" s="981">
        <v>3</v>
      </c>
      <c r="S44" s="981">
        <v>12</v>
      </c>
    </row>
    <row r="45" spans="1:19" x14ac:dyDescent="0.25">
      <c r="A45" s="981" t="s">
        <v>31</v>
      </c>
      <c r="B45" s="981" t="s">
        <v>306</v>
      </c>
      <c r="C45" s="981" t="s">
        <v>258</v>
      </c>
      <c r="D45" s="981">
        <v>364</v>
      </c>
      <c r="E45" s="981">
        <v>113</v>
      </c>
      <c r="F45" s="981">
        <v>7</v>
      </c>
      <c r="G45" s="981">
        <v>5</v>
      </c>
      <c r="H45" s="981">
        <v>136</v>
      </c>
      <c r="I45" s="981">
        <v>22</v>
      </c>
      <c r="J45" s="981">
        <v>2</v>
      </c>
      <c r="K45" s="981">
        <v>32</v>
      </c>
      <c r="L45" s="981">
        <v>5</v>
      </c>
      <c r="M45" s="981">
        <v>6</v>
      </c>
      <c r="N45" s="981">
        <v>6</v>
      </c>
      <c r="O45" s="981">
        <v>1</v>
      </c>
      <c r="P45" s="981">
        <v>8</v>
      </c>
      <c r="Q45" s="981">
        <v>2</v>
      </c>
      <c r="R45" s="981">
        <v>9</v>
      </c>
      <c r="S45" s="981">
        <v>10</v>
      </c>
    </row>
    <row r="46" spans="1:19" x14ac:dyDescent="0.25">
      <c r="A46" s="981" t="s">
        <v>32</v>
      </c>
      <c r="B46" s="981" t="s">
        <v>307</v>
      </c>
      <c r="C46" s="981" t="s">
        <v>206</v>
      </c>
      <c r="D46" s="981">
        <v>267</v>
      </c>
      <c r="E46" s="981">
        <v>79</v>
      </c>
      <c r="F46" s="981">
        <v>2</v>
      </c>
      <c r="G46" s="981"/>
      <c r="H46" s="981">
        <v>48</v>
      </c>
      <c r="I46" s="981">
        <v>11</v>
      </c>
      <c r="J46" s="981"/>
      <c r="K46" s="981">
        <v>59</v>
      </c>
      <c r="L46" s="981">
        <v>14</v>
      </c>
      <c r="M46" s="981">
        <v>6</v>
      </c>
      <c r="N46" s="981">
        <v>1</v>
      </c>
      <c r="O46" s="981">
        <v>28</v>
      </c>
      <c r="P46" s="981">
        <v>2</v>
      </c>
      <c r="Q46" s="981"/>
      <c r="R46" s="981">
        <v>16</v>
      </c>
      <c r="S46" s="981">
        <v>1</v>
      </c>
    </row>
    <row r="47" spans="1:19" x14ac:dyDescent="0.25">
      <c r="A47" s="981" t="s">
        <v>32</v>
      </c>
      <c r="B47" s="981" t="s">
        <v>307</v>
      </c>
      <c r="C47" s="981" t="s">
        <v>205</v>
      </c>
      <c r="D47" s="981">
        <v>373</v>
      </c>
      <c r="E47" s="981">
        <v>109</v>
      </c>
      <c r="F47" s="981">
        <v>15</v>
      </c>
      <c r="G47" s="981"/>
      <c r="H47" s="981">
        <v>44</v>
      </c>
      <c r="I47" s="981">
        <v>13</v>
      </c>
      <c r="J47" s="981">
        <v>2</v>
      </c>
      <c r="K47" s="981">
        <v>106</v>
      </c>
      <c r="L47" s="981">
        <v>24</v>
      </c>
      <c r="M47" s="981">
        <v>5</v>
      </c>
      <c r="N47" s="981">
        <v>8</v>
      </c>
      <c r="O47" s="981">
        <v>38</v>
      </c>
      <c r="P47" s="981">
        <v>6</v>
      </c>
      <c r="Q47" s="981"/>
      <c r="R47" s="981">
        <v>3</v>
      </c>
      <c r="S47" s="981"/>
    </row>
    <row r="48" spans="1:19" x14ac:dyDescent="0.25">
      <c r="A48" s="981" t="s">
        <v>32</v>
      </c>
      <c r="B48" s="981" t="s">
        <v>307</v>
      </c>
      <c r="C48" s="981" t="s">
        <v>278</v>
      </c>
      <c r="D48" s="981">
        <v>362</v>
      </c>
      <c r="E48" s="981">
        <v>89</v>
      </c>
      <c r="F48" s="981">
        <v>8</v>
      </c>
      <c r="G48" s="981"/>
      <c r="H48" s="981">
        <v>41</v>
      </c>
      <c r="I48" s="981">
        <v>25</v>
      </c>
      <c r="J48" s="981">
        <v>2</v>
      </c>
      <c r="K48" s="981">
        <v>59</v>
      </c>
      <c r="L48" s="981">
        <v>12</v>
      </c>
      <c r="M48" s="981">
        <v>2</v>
      </c>
      <c r="N48" s="981">
        <v>3</v>
      </c>
      <c r="O48" s="981">
        <v>54</v>
      </c>
      <c r="P48" s="981">
        <v>3</v>
      </c>
      <c r="Q48" s="981"/>
      <c r="R48" s="981">
        <v>62</v>
      </c>
      <c r="S48" s="981">
        <v>2</v>
      </c>
    </row>
    <row r="49" spans="1:19" x14ac:dyDescent="0.25">
      <c r="A49" s="981" t="s">
        <v>32</v>
      </c>
      <c r="B49" s="981" t="s">
        <v>307</v>
      </c>
      <c r="C49" s="981" t="s">
        <v>259</v>
      </c>
      <c r="D49" s="981">
        <v>344</v>
      </c>
      <c r="E49" s="981">
        <v>92</v>
      </c>
      <c r="F49" s="981">
        <v>15</v>
      </c>
      <c r="G49" s="981">
        <v>1</v>
      </c>
      <c r="H49" s="981">
        <v>39</v>
      </c>
      <c r="I49" s="981">
        <v>15</v>
      </c>
      <c r="J49" s="981"/>
      <c r="K49" s="981">
        <v>72</v>
      </c>
      <c r="L49" s="981">
        <v>10</v>
      </c>
      <c r="M49" s="981">
        <v>11</v>
      </c>
      <c r="N49" s="981">
        <v>8</v>
      </c>
      <c r="O49" s="981">
        <v>52</v>
      </c>
      <c r="P49" s="981">
        <v>5</v>
      </c>
      <c r="Q49" s="981">
        <v>6</v>
      </c>
      <c r="R49" s="981">
        <v>8</v>
      </c>
      <c r="S49" s="981">
        <v>10</v>
      </c>
    </row>
    <row r="50" spans="1:19" x14ac:dyDescent="0.25">
      <c r="A50" s="981" t="s">
        <v>32</v>
      </c>
      <c r="B50" s="981" t="s">
        <v>307</v>
      </c>
      <c r="C50" s="981" t="s">
        <v>258</v>
      </c>
      <c r="D50" s="981">
        <v>373</v>
      </c>
      <c r="E50" s="981">
        <v>88</v>
      </c>
      <c r="F50" s="981">
        <v>21</v>
      </c>
      <c r="G50" s="981">
        <v>3</v>
      </c>
      <c r="H50" s="981">
        <v>48</v>
      </c>
      <c r="I50" s="981">
        <v>26</v>
      </c>
      <c r="J50" s="981">
        <v>7</v>
      </c>
      <c r="K50" s="981">
        <v>73</v>
      </c>
      <c r="L50" s="981">
        <v>13</v>
      </c>
      <c r="M50" s="981">
        <v>13</v>
      </c>
      <c r="N50" s="981">
        <v>4</v>
      </c>
      <c r="O50" s="981">
        <v>48</v>
      </c>
      <c r="P50" s="981">
        <v>5</v>
      </c>
      <c r="Q50" s="981">
        <v>3</v>
      </c>
      <c r="R50" s="981">
        <v>8</v>
      </c>
      <c r="S50" s="981">
        <v>13</v>
      </c>
    </row>
    <row r="51" spans="1:19" x14ac:dyDescent="0.25">
      <c r="A51" s="981" t="s">
        <v>33</v>
      </c>
      <c r="B51" s="981" t="s">
        <v>313</v>
      </c>
      <c r="C51" s="981" t="s">
        <v>206</v>
      </c>
      <c r="D51" s="981">
        <v>206</v>
      </c>
      <c r="E51" s="981">
        <v>38</v>
      </c>
      <c r="F51" s="981">
        <v>25</v>
      </c>
      <c r="G51" s="981"/>
      <c r="H51" s="981">
        <v>6</v>
      </c>
      <c r="I51" s="981">
        <v>13</v>
      </c>
      <c r="J51" s="981">
        <v>1</v>
      </c>
      <c r="K51" s="981">
        <v>27</v>
      </c>
      <c r="L51" s="981">
        <v>34</v>
      </c>
      <c r="M51" s="981">
        <v>13</v>
      </c>
      <c r="N51" s="981">
        <v>20</v>
      </c>
      <c r="O51" s="981">
        <v>9</v>
      </c>
      <c r="P51" s="981">
        <v>9</v>
      </c>
      <c r="Q51" s="981">
        <v>2</v>
      </c>
      <c r="R51" s="981">
        <v>4</v>
      </c>
      <c r="S51" s="981">
        <v>5</v>
      </c>
    </row>
    <row r="52" spans="1:19" x14ac:dyDescent="0.25">
      <c r="A52" s="981" t="s">
        <v>33</v>
      </c>
      <c r="B52" s="981" t="s">
        <v>313</v>
      </c>
      <c r="C52" s="981" t="s">
        <v>205</v>
      </c>
      <c r="D52" s="981">
        <v>174</v>
      </c>
      <c r="E52" s="981">
        <v>36</v>
      </c>
      <c r="F52" s="981">
        <v>8</v>
      </c>
      <c r="G52" s="981"/>
      <c r="H52" s="981">
        <v>4</v>
      </c>
      <c r="I52" s="981">
        <v>8</v>
      </c>
      <c r="J52" s="981"/>
      <c r="K52" s="981">
        <v>12</v>
      </c>
      <c r="L52" s="981">
        <v>39</v>
      </c>
      <c r="M52" s="981">
        <v>8</v>
      </c>
      <c r="N52" s="981">
        <v>19</v>
      </c>
      <c r="O52" s="981">
        <v>27</v>
      </c>
      <c r="P52" s="981">
        <v>3</v>
      </c>
      <c r="Q52" s="981"/>
      <c r="R52" s="981">
        <v>7</v>
      </c>
      <c r="S52" s="981">
        <v>3</v>
      </c>
    </row>
    <row r="53" spans="1:19" x14ac:dyDescent="0.25">
      <c r="A53" s="981" t="s">
        <v>33</v>
      </c>
      <c r="B53" s="981" t="s">
        <v>313</v>
      </c>
      <c r="C53" s="981" t="s">
        <v>278</v>
      </c>
      <c r="D53" s="981">
        <v>99</v>
      </c>
      <c r="E53" s="981">
        <v>35</v>
      </c>
      <c r="F53" s="981">
        <v>2</v>
      </c>
      <c r="G53" s="981"/>
      <c r="H53" s="981">
        <v>9</v>
      </c>
      <c r="I53" s="981">
        <v>1</v>
      </c>
      <c r="J53" s="981"/>
      <c r="K53" s="981">
        <v>12</v>
      </c>
      <c r="L53" s="981">
        <v>8</v>
      </c>
      <c r="M53" s="981">
        <v>2</v>
      </c>
      <c r="N53" s="981">
        <v>7</v>
      </c>
      <c r="O53" s="981">
        <v>11</v>
      </c>
      <c r="P53" s="981">
        <v>5</v>
      </c>
      <c r="Q53" s="981"/>
      <c r="R53" s="981">
        <v>1</v>
      </c>
      <c r="S53" s="981">
        <v>6</v>
      </c>
    </row>
    <row r="54" spans="1:19" x14ac:dyDescent="0.25">
      <c r="A54" s="981" t="s">
        <v>33</v>
      </c>
      <c r="B54" s="981" t="s">
        <v>313</v>
      </c>
      <c r="C54" s="981" t="s">
        <v>259</v>
      </c>
      <c r="D54" s="981">
        <v>119</v>
      </c>
      <c r="E54" s="981">
        <v>35</v>
      </c>
      <c r="F54" s="981">
        <v>3</v>
      </c>
      <c r="G54" s="981"/>
      <c r="H54" s="981">
        <v>4</v>
      </c>
      <c r="I54" s="981">
        <v>15</v>
      </c>
      <c r="J54" s="981">
        <v>1</v>
      </c>
      <c r="K54" s="981">
        <v>19</v>
      </c>
      <c r="L54" s="981">
        <v>12</v>
      </c>
      <c r="M54" s="981"/>
      <c r="N54" s="981">
        <v>7</v>
      </c>
      <c r="O54" s="981">
        <v>16</v>
      </c>
      <c r="P54" s="981">
        <v>2</v>
      </c>
      <c r="Q54" s="981">
        <v>2</v>
      </c>
      <c r="R54" s="981"/>
      <c r="S54" s="981">
        <v>3</v>
      </c>
    </row>
    <row r="55" spans="1:19" x14ac:dyDescent="0.25">
      <c r="A55" s="981" t="s">
        <v>33</v>
      </c>
      <c r="B55" s="981" t="s">
        <v>313</v>
      </c>
      <c r="C55" s="981" t="s">
        <v>258</v>
      </c>
      <c r="D55" s="981">
        <v>126</v>
      </c>
      <c r="E55" s="981">
        <v>39</v>
      </c>
      <c r="F55" s="981">
        <v>2</v>
      </c>
      <c r="G55" s="981">
        <v>1</v>
      </c>
      <c r="H55" s="981">
        <v>6</v>
      </c>
      <c r="I55" s="981">
        <v>6</v>
      </c>
      <c r="J55" s="981"/>
      <c r="K55" s="981">
        <v>14</v>
      </c>
      <c r="L55" s="981">
        <v>17</v>
      </c>
      <c r="M55" s="981">
        <v>3</v>
      </c>
      <c r="N55" s="981">
        <v>13</v>
      </c>
      <c r="O55" s="981">
        <v>6</v>
      </c>
      <c r="P55" s="981">
        <v>7</v>
      </c>
      <c r="Q55" s="981">
        <v>5</v>
      </c>
      <c r="R55" s="981">
        <v>4</v>
      </c>
      <c r="S55" s="981">
        <v>3</v>
      </c>
    </row>
    <row r="56" spans="1:19" x14ac:dyDescent="0.25">
      <c r="A56" s="981" t="s">
        <v>34</v>
      </c>
      <c r="B56" s="981" t="s">
        <v>308</v>
      </c>
      <c r="C56" s="981" t="s">
        <v>206</v>
      </c>
      <c r="D56" s="981">
        <v>253</v>
      </c>
      <c r="E56" s="981">
        <v>27</v>
      </c>
      <c r="F56" s="981">
        <v>3</v>
      </c>
      <c r="G56" s="981">
        <v>2</v>
      </c>
      <c r="H56" s="981">
        <v>2</v>
      </c>
      <c r="I56" s="981">
        <v>5</v>
      </c>
      <c r="J56" s="981">
        <v>5</v>
      </c>
      <c r="K56" s="981">
        <v>101</v>
      </c>
      <c r="L56" s="981">
        <v>9</v>
      </c>
      <c r="M56" s="981">
        <v>4</v>
      </c>
      <c r="N56" s="981">
        <v>2</v>
      </c>
      <c r="O56" s="981">
        <v>24</v>
      </c>
      <c r="P56" s="981">
        <v>18</v>
      </c>
      <c r="Q56" s="981">
        <v>2</v>
      </c>
      <c r="R56" s="981">
        <v>36</v>
      </c>
      <c r="S56" s="981">
        <v>13</v>
      </c>
    </row>
    <row r="57" spans="1:19" x14ac:dyDescent="0.25">
      <c r="A57" s="981" t="s">
        <v>34</v>
      </c>
      <c r="B57" s="981" t="s">
        <v>308</v>
      </c>
      <c r="C57" s="981" t="s">
        <v>205</v>
      </c>
      <c r="D57" s="981">
        <v>341</v>
      </c>
      <c r="E57" s="981">
        <v>32</v>
      </c>
      <c r="F57" s="981">
        <v>11</v>
      </c>
      <c r="G57" s="981">
        <v>1</v>
      </c>
      <c r="H57" s="981">
        <v>19</v>
      </c>
      <c r="I57" s="981">
        <v>11</v>
      </c>
      <c r="J57" s="981">
        <v>12</v>
      </c>
      <c r="K57" s="981">
        <v>176</v>
      </c>
      <c r="L57" s="981">
        <v>3</v>
      </c>
      <c r="M57" s="981">
        <v>6</v>
      </c>
      <c r="N57" s="981">
        <v>6</v>
      </c>
      <c r="O57" s="981">
        <v>30</v>
      </c>
      <c r="P57" s="981">
        <v>4</v>
      </c>
      <c r="Q57" s="981">
        <v>2</v>
      </c>
      <c r="R57" s="981">
        <v>10</v>
      </c>
      <c r="S57" s="981">
        <v>18</v>
      </c>
    </row>
    <row r="58" spans="1:19" x14ac:dyDescent="0.25">
      <c r="A58" s="981" t="s">
        <v>34</v>
      </c>
      <c r="B58" s="981" t="s">
        <v>308</v>
      </c>
      <c r="C58" s="981" t="s">
        <v>278</v>
      </c>
      <c r="D58" s="981">
        <v>331</v>
      </c>
      <c r="E58" s="981">
        <v>29</v>
      </c>
      <c r="F58" s="981">
        <v>8</v>
      </c>
      <c r="G58" s="981"/>
      <c r="H58" s="981">
        <v>32</v>
      </c>
      <c r="I58" s="981">
        <v>6</v>
      </c>
      <c r="J58" s="981">
        <v>15</v>
      </c>
      <c r="K58" s="981">
        <v>146</v>
      </c>
      <c r="L58" s="981">
        <v>11</v>
      </c>
      <c r="M58" s="981">
        <v>9</v>
      </c>
      <c r="N58" s="981">
        <v>6</v>
      </c>
      <c r="O58" s="981">
        <v>41</v>
      </c>
      <c r="P58" s="981">
        <v>3</v>
      </c>
      <c r="Q58" s="981">
        <v>4</v>
      </c>
      <c r="R58" s="981">
        <v>6</v>
      </c>
      <c r="S58" s="981">
        <v>15</v>
      </c>
    </row>
    <row r="59" spans="1:19" x14ac:dyDescent="0.25">
      <c r="A59" s="981" t="s">
        <v>34</v>
      </c>
      <c r="B59" s="981" t="s">
        <v>308</v>
      </c>
      <c r="C59" s="981" t="s">
        <v>259</v>
      </c>
      <c r="D59" s="981">
        <v>185</v>
      </c>
      <c r="E59" s="981">
        <v>22</v>
      </c>
      <c r="F59" s="981">
        <v>3</v>
      </c>
      <c r="G59" s="981"/>
      <c r="H59" s="981">
        <v>25</v>
      </c>
      <c r="I59" s="981">
        <v>5</v>
      </c>
      <c r="J59" s="981">
        <v>4</v>
      </c>
      <c r="K59" s="981">
        <v>62</v>
      </c>
      <c r="L59" s="981">
        <v>4</v>
      </c>
      <c r="M59" s="981">
        <v>3</v>
      </c>
      <c r="N59" s="981">
        <v>5</v>
      </c>
      <c r="O59" s="981">
        <v>38</v>
      </c>
      <c r="P59" s="981">
        <v>5</v>
      </c>
      <c r="Q59" s="981"/>
      <c r="R59" s="981">
        <v>4</v>
      </c>
      <c r="S59" s="981">
        <v>5</v>
      </c>
    </row>
    <row r="60" spans="1:19" x14ac:dyDescent="0.25">
      <c r="A60" s="981" t="s">
        <v>34</v>
      </c>
      <c r="B60" s="981" t="s">
        <v>308</v>
      </c>
      <c r="C60" s="981" t="s">
        <v>258</v>
      </c>
      <c r="D60" s="981">
        <v>220</v>
      </c>
      <c r="E60" s="981">
        <v>35</v>
      </c>
      <c r="F60" s="981">
        <v>8</v>
      </c>
      <c r="G60" s="981">
        <v>1</v>
      </c>
      <c r="H60" s="981">
        <v>34</v>
      </c>
      <c r="I60" s="981">
        <v>3</v>
      </c>
      <c r="J60" s="981">
        <v>4</v>
      </c>
      <c r="K60" s="981">
        <v>60</v>
      </c>
      <c r="L60" s="981">
        <v>5</v>
      </c>
      <c r="M60" s="981">
        <v>5</v>
      </c>
      <c r="N60" s="981">
        <v>5</v>
      </c>
      <c r="O60" s="981">
        <v>40</v>
      </c>
      <c r="P60" s="981">
        <v>6</v>
      </c>
      <c r="Q60" s="981"/>
      <c r="R60" s="981">
        <v>2</v>
      </c>
      <c r="S60" s="981">
        <v>12</v>
      </c>
    </row>
    <row r="61" spans="1:19" x14ac:dyDescent="0.25">
      <c r="A61" s="981" t="s">
        <v>262</v>
      </c>
      <c r="B61" s="981" t="s">
        <v>309</v>
      </c>
      <c r="C61" s="981" t="s">
        <v>206</v>
      </c>
      <c r="D61" s="981">
        <v>956</v>
      </c>
      <c r="E61" s="981">
        <v>127</v>
      </c>
      <c r="F61" s="981">
        <v>15</v>
      </c>
      <c r="G61" s="981">
        <v>3</v>
      </c>
      <c r="H61" s="981">
        <v>134</v>
      </c>
      <c r="I61" s="981">
        <v>40</v>
      </c>
      <c r="J61" s="981">
        <v>69</v>
      </c>
      <c r="K61" s="981">
        <v>105</v>
      </c>
      <c r="L61" s="981">
        <v>127</v>
      </c>
      <c r="M61" s="981">
        <v>43</v>
      </c>
      <c r="N61" s="981">
        <v>108</v>
      </c>
      <c r="O61" s="981">
        <v>42</v>
      </c>
      <c r="P61" s="981">
        <v>19</v>
      </c>
      <c r="Q61" s="981">
        <v>7</v>
      </c>
      <c r="R61" s="981">
        <v>28</v>
      </c>
      <c r="S61" s="981">
        <v>89</v>
      </c>
    </row>
    <row r="62" spans="1:19" x14ac:dyDescent="0.25">
      <c r="A62" s="981" t="s">
        <v>262</v>
      </c>
      <c r="B62" s="981" t="s">
        <v>309</v>
      </c>
      <c r="C62" s="981" t="s">
        <v>205</v>
      </c>
      <c r="D62" s="981">
        <v>857</v>
      </c>
      <c r="E62" s="981">
        <v>123</v>
      </c>
      <c r="F62" s="981">
        <v>7</v>
      </c>
      <c r="G62" s="981">
        <v>4</v>
      </c>
      <c r="H62" s="981">
        <v>178</v>
      </c>
      <c r="I62" s="981">
        <v>35</v>
      </c>
      <c r="J62" s="981">
        <v>33</v>
      </c>
      <c r="K62" s="981">
        <v>141</v>
      </c>
      <c r="L62" s="981">
        <v>80</v>
      </c>
      <c r="M62" s="981">
        <v>52</v>
      </c>
      <c r="N62" s="981">
        <v>65</v>
      </c>
      <c r="O62" s="981">
        <v>29</v>
      </c>
      <c r="P62" s="981">
        <v>11</v>
      </c>
      <c r="Q62" s="981">
        <v>5</v>
      </c>
      <c r="R62" s="981">
        <v>20</v>
      </c>
      <c r="S62" s="981">
        <v>74</v>
      </c>
    </row>
    <row r="63" spans="1:19" x14ac:dyDescent="0.25">
      <c r="A63" s="981" t="s">
        <v>262</v>
      </c>
      <c r="B63" s="981" t="s">
        <v>309</v>
      </c>
      <c r="C63" s="981" t="s">
        <v>278</v>
      </c>
      <c r="D63" s="981">
        <v>783</v>
      </c>
      <c r="E63" s="981">
        <v>110</v>
      </c>
      <c r="F63" s="981">
        <v>1</v>
      </c>
      <c r="G63" s="981">
        <v>2</v>
      </c>
      <c r="H63" s="981">
        <v>211</v>
      </c>
      <c r="I63" s="981">
        <v>27</v>
      </c>
      <c r="J63" s="981">
        <v>30</v>
      </c>
      <c r="K63" s="981">
        <v>110</v>
      </c>
      <c r="L63" s="981">
        <v>109</v>
      </c>
      <c r="M63" s="981">
        <v>22</v>
      </c>
      <c r="N63" s="981">
        <v>27</v>
      </c>
      <c r="O63" s="981">
        <v>22</v>
      </c>
      <c r="P63" s="981">
        <v>4</v>
      </c>
      <c r="Q63" s="981">
        <v>5</v>
      </c>
      <c r="R63" s="981">
        <v>24</v>
      </c>
      <c r="S63" s="981">
        <v>79</v>
      </c>
    </row>
    <row r="64" spans="1:19" x14ac:dyDescent="0.25">
      <c r="A64" s="981" t="s">
        <v>262</v>
      </c>
      <c r="B64" s="981" t="s">
        <v>309</v>
      </c>
      <c r="C64" s="981" t="s">
        <v>259</v>
      </c>
      <c r="D64" s="981">
        <v>744</v>
      </c>
      <c r="E64" s="981">
        <v>134</v>
      </c>
      <c r="F64" s="981">
        <v>4</v>
      </c>
      <c r="G64" s="981">
        <v>6</v>
      </c>
      <c r="H64" s="981">
        <v>183</v>
      </c>
      <c r="I64" s="981">
        <v>45</v>
      </c>
      <c r="J64" s="981">
        <v>17</v>
      </c>
      <c r="K64" s="981">
        <v>115</v>
      </c>
      <c r="L64" s="981">
        <v>55</v>
      </c>
      <c r="M64" s="981">
        <v>22</v>
      </c>
      <c r="N64" s="981">
        <v>47</v>
      </c>
      <c r="O64" s="981">
        <v>58</v>
      </c>
      <c r="P64" s="981">
        <v>10</v>
      </c>
      <c r="Q64" s="981">
        <v>3</v>
      </c>
      <c r="R64" s="981">
        <v>18</v>
      </c>
      <c r="S64" s="981">
        <v>27</v>
      </c>
    </row>
    <row r="65" spans="1:19" x14ac:dyDescent="0.25">
      <c r="A65" s="981" t="s">
        <v>262</v>
      </c>
      <c r="B65" s="981" t="s">
        <v>309</v>
      </c>
      <c r="C65" s="981" t="s">
        <v>258</v>
      </c>
      <c r="D65" s="981">
        <v>714</v>
      </c>
      <c r="E65" s="981">
        <v>120</v>
      </c>
      <c r="F65" s="981">
        <v>7</v>
      </c>
      <c r="G65" s="981">
        <v>2</v>
      </c>
      <c r="H65" s="981">
        <v>142</v>
      </c>
      <c r="I65" s="981">
        <v>66</v>
      </c>
      <c r="J65" s="981">
        <v>21</v>
      </c>
      <c r="K65" s="981">
        <v>112</v>
      </c>
      <c r="L65" s="981">
        <v>85</v>
      </c>
      <c r="M65" s="981">
        <v>41</v>
      </c>
      <c r="N65" s="981">
        <v>40</v>
      </c>
      <c r="O65" s="981">
        <v>23</v>
      </c>
      <c r="P65" s="981">
        <v>8</v>
      </c>
      <c r="Q65" s="981">
        <v>5</v>
      </c>
      <c r="R65" s="981">
        <v>16</v>
      </c>
      <c r="S65" s="981">
        <v>26</v>
      </c>
    </row>
    <row r="66" spans="1:19" x14ac:dyDescent="0.25">
      <c r="A66" s="981" t="s">
        <v>35</v>
      </c>
      <c r="B66" s="981" t="s">
        <v>287</v>
      </c>
      <c r="C66" s="981" t="s">
        <v>206</v>
      </c>
      <c r="D66" s="981">
        <v>44</v>
      </c>
      <c r="E66" s="981">
        <v>22</v>
      </c>
      <c r="F66" s="981">
        <v>1</v>
      </c>
      <c r="G66" s="981"/>
      <c r="H66" s="981">
        <v>2</v>
      </c>
      <c r="I66" s="981"/>
      <c r="J66" s="981"/>
      <c r="K66" s="981">
        <v>5</v>
      </c>
      <c r="L66" s="981">
        <v>1</v>
      </c>
      <c r="M66" s="981">
        <v>3</v>
      </c>
      <c r="N66" s="981">
        <v>1</v>
      </c>
      <c r="O66" s="981">
        <v>4</v>
      </c>
      <c r="P66" s="981"/>
      <c r="Q66" s="981"/>
      <c r="R66" s="981">
        <v>3</v>
      </c>
      <c r="S66" s="981">
        <v>2</v>
      </c>
    </row>
    <row r="67" spans="1:19" x14ac:dyDescent="0.25">
      <c r="A67" s="981" t="s">
        <v>35</v>
      </c>
      <c r="B67" s="981" t="s">
        <v>287</v>
      </c>
      <c r="C67" s="981" t="s">
        <v>205</v>
      </c>
      <c r="D67" s="981">
        <v>51</v>
      </c>
      <c r="E67" s="981">
        <v>22</v>
      </c>
      <c r="F67" s="981">
        <v>2</v>
      </c>
      <c r="G67" s="981"/>
      <c r="H67" s="981">
        <v>3</v>
      </c>
      <c r="I67" s="981">
        <v>12</v>
      </c>
      <c r="J67" s="981"/>
      <c r="K67" s="981">
        <v>2</v>
      </c>
      <c r="L67" s="981"/>
      <c r="M67" s="981">
        <v>5</v>
      </c>
      <c r="N67" s="981">
        <v>2</v>
      </c>
      <c r="O67" s="981">
        <v>2</v>
      </c>
      <c r="P67" s="981"/>
      <c r="Q67" s="981">
        <v>1</v>
      </c>
      <c r="R67" s="981"/>
      <c r="S67" s="981"/>
    </row>
    <row r="68" spans="1:19" x14ac:dyDescent="0.25">
      <c r="A68" s="981" t="s">
        <v>35</v>
      </c>
      <c r="B68" s="981" t="s">
        <v>287</v>
      </c>
      <c r="C68" s="981" t="s">
        <v>278</v>
      </c>
      <c r="D68" s="981">
        <v>68</v>
      </c>
      <c r="E68" s="981">
        <v>19</v>
      </c>
      <c r="F68" s="981"/>
      <c r="G68" s="981"/>
      <c r="H68" s="981">
        <v>2</v>
      </c>
      <c r="I68" s="981">
        <v>15</v>
      </c>
      <c r="J68" s="981">
        <v>2</v>
      </c>
      <c r="K68" s="981">
        <v>2</v>
      </c>
      <c r="L68" s="981">
        <v>2</v>
      </c>
      <c r="M68" s="981">
        <v>6</v>
      </c>
      <c r="N68" s="981">
        <v>3</v>
      </c>
      <c r="O68" s="981">
        <v>1</v>
      </c>
      <c r="P68" s="981"/>
      <c r="Q68" s="981"/>
      <c r="R68" s="981">
        <v>10</v>
      </c>
      <c r="S68" s="981">
        <v>6</v>
      </c>
    </row>
    <row r="69" spans="1:19" x14ac:dyDescent="0.25">
      <c r="A69" s="981" t="s">
        <v>35</v>
      </c>
      <c r="B69" s="981" t="s">
        <v>287</v>
      </c>
      <c r="C69" s="981" t="s">
        <v>259</v>
      </c>
      <c r="D69" s="981">
        <v>64</v>
      </c>
      <c r="E69" s="981">
        <v>19</v>
      </c>
      <c r="F69" s="981">
        <v>3</v>
      </c>
      <c r="G69" s="981">
        <v>1</v>
      </c>
      <c r="H69" s="981">
        <v>5</v>
      </c>
      <c r="I69" s="981">
        <v>1</v>
      </c>
      <c r="J69" s="981"/>
      <c r="K69" s="981">
        <v>6</v>
      </c>
      <c r="L69" s="981">
        <v>1</v>
      </c>
      <c r="M69" s="981">
        <v>2</v>
      </c>
      <c r="N69" s="981">
        <v>1</v>
      </c>
      <c r="O69" s="981">
        <v>1</v>
      </c>
      <c r="P69" s="981"/>
      <c r="Q69" s="981"/>
      <c r="R69" s="981">
        <v>23</v>
      </c>
      <c r="S69" s="981">
        <v>1</v>
      </c>
    </row>
    <row r="70" spans="1:19" x14ac:dyDescent="0.25">
      <c r="A70" s="981" t="s">
        <v>35</v>
      </c>
      <c r="B70" s="981" t="s">
        <v>287</v>
      </c>
      <c r="C70" s="981" t="s">
        <v>258</v>
      </c>
      <c r="D70" s="981">
        <v>70</v>
      </c>
      <c r="E70" s="981">
        <v>22</v>
      </c>
      <c r="F70" s="981">
        <v>7</v>
      </c>
      <c r="G70" s="981"/>
      <c r="H70" s="981">
        <v>8</v>
      </c>
      <c r="I70" s="981">
        <v>5</v>
      </c>
      <c r="J70" s="981">
        <v>2</v>
      </c>
      <c r="K70" s="981">
        <v>3</v>
      </c>
      <c r="L70" s="981">
        <v>1</v>
      </c>
      <c r="M70" s="981">
        <v>2</v>
      </c>
      <c r="N70" s="981">
        <v>1</v>
      </c>
      <c r="O70" s="981">
        <v>2</v>
      </c>
      <c r="P70" s="981"/>
      <c r="Q70" s="981"/>
      <c r="R70" s="981">
        <v>17</v>
      </c>
      <c r="S70" s="981"/>
    </row>
    <row r="71" spans="1:19" x14ac:dyDescent="0.25">
      <c r="A71" s="981" t="s">
        <v>36</v>
      </c>
      <c r="B71" s="981" t="s">
        <v>288</v>
      </c>
      <c r="C71" s="981" t="s">
        <v>206</v>
      </c>
      <c r="D71" s="981">
        <v>213</v>
      </c>
      <c r="E71" s="981">
        <v>38</v>
      </c>
      <c r="F71" s="981">
        <v>12</v>
      </c>
      <c r="G71" s="981">
        <v>1</v>
      </c>
      <c r="H71" s="981">
        <v>29</v>
      </c>
      <c r="I71" s="981">
        <v>7</v>
      </c>
      <c r="J71" s="981">
        <v>3</v>
      </c>
      <c r="K71" s="981">
        <v>58</v>
      </c>
      <c r="L71" s="981">
        <v>12</v>
      </c>
      <c r="M71" s="981">
        <v>9</v>
      </c>
      <c r="N71" s="981">
        <v>17</v>
      </c>
      <c r="O71" s="981">
        <v>1</v>
      </c>
      <c r="P71" s="981">
        <v>2</v>
      </c>
      <c r="Q71" s="981">
        <v>2</v>
      </c>
      <c r="R71" s="981">
        <v>1</v>
      </c>
      <c r="S71" s="981">
        <v>21</v>
      </c>
    </row>
    <row r="72" spans="1:19" x14ac:dyDescent="0.25">
      <c r="A72" s="981" t="s">
        <v>36</v>
      </c>
      <c r="B72" s="981" t="s">
        <v>288</v>
      </c>
      <c r="C72" s="981" t="s">
        <v>205</v>
      </c>
      <c r="D72" s="981">
        <v>296</v>
      </c>
      <c r="E72" s="981">
        <v>91</v>
      </c>
      <c r="F72" s="981">
        <v>19</v>
      </c>
      <c r="G72" s="981">
        <v>1</v>
      </c>
      <c r="H72" s="981">
        <v>27</v>
      </c>
      <c r="I72" s="981">
        <v>10</v>
      </c>
      <c r="J72" s="981">
        <v>3</v>
      </c>
      <c r="K72" s="981">
        <v>82</v>
      </c>
      <c r="L72" s="981">
        <v>9</v>
      </c>
      <c r="M72" s="981">
        <v>7</v>
      </c>
      <c r="N72" s="981">
        <v>15</v>
      </c>
      <c r="O72" s="981">
        <v>7</v>
      </c>
      <c r="P72" s="981">
        <v>3</v>
      </c>
      <c r="Q72" s="981">
        <v>1</v>
      </c>
      <c r="R72" s="981">
        <v>11</v>
      </c>
      <c r="S72" s="981">
        <v>10</v>
      </c>
    </row>
    <row r="73" spans="1:19" x14ac:dyDescent="0.25">
      <c r="A73" s="981" t="s">
        <v>36</v>
      </c>
      <c r="B73" s="981" t="s">
        <v>288</v>
      </c>
      <c r="C73" s="981" t="s">
        <v>278</v>
      </c>
      <c r="D73" s="981">
        <v>363</v>
      </c>
      <c r="E73" s="981">
        <v>76</v>
      </c>
      <c r="F73" s="981">
        <v>22</v>
      </c>
      <c r="G73" s="981">
        <v>2</v>
      </c>
      <c r="H73" s="981">
        <v>44</v>
      </c>
      <c r="I73" s="981">
        <v>11</v>
      </c>
      <c r="J73" s="981">
        <v>6</v>
      </c>
      <c r="K73" s="981">
        <v>110</v>
      </c>
      <c r="L73" s="981">
        <v>5</v>
      </c>
      <c r="M73" s="981">
        <v>19</v>
      </c>
      <c r="N73" s="981">
        <v>8</v>
      </c>
      <c r="O73" s="981">
        <v>10</v>
      </c>
      <c r="P73" s="981">
        <v>7</v>
      </c>
      <c r="Q73" s="981">
        <v>7</v>
      </c>
      <c r="R73" s="981">
        <v>18</v>
      </c>
      <c r="S73" s="981">
        <v>18</v>
      </c>
    </row>
    <row r="74" spans="1:19" x14ac:dyDescent="0.25">
      <c r="A74" s="981" t="s">
        <v>36</v>
      </c>
      <c r="B74" s="981" t="s">
        <v>288</v>
      </c>
      <c r="C74" s="981" t="s">
        <v>259</v>
      </c>
      <c r="D74" s="981">
        <v>379</v>
      </c>
      <c r="E74" s="981">
        <v>88</v>
      </c>
      <c r="F74" s="981">
        <v>30</v>
      </c>
      <c r="G74" s="981"/>
      <c r="H74" s="981">
        <v>39</v>
      </c>
      <c r="I74" s="981">
        <v>18</v>
      </c>
      <c r="J74" s="981">
        <v>8</v>
      </c>
      <c r="K74" s="981">
        <v>86</v>
      </c>
      <c r="L74" s="981">
        <v>15</v>
      </c>
      <c r="M74" s="981">
        <v>9</v>
      </c>
      <c r="N74" s="981">
        <v>15</v>
      </c>
      <c r="O74" s="981">
        <v>7</v>
      </c>
      <c r="P74" s="981">
        <v>7</v>
      </c>
      <c r="Q74" s="981">
        <v>12</v>
      </c>
      <c r="R74" s="981">
        <v>10</v>
      </c>
      <c r="S74" s="981">
        <v>35</v>
      </c>
    </row>
    <row r="75" spans="1:19" x14ac:dyDescent="0.25">
      <c r="A75" s="981" t="s">
        <v>36</v>
      </c>
      <c r="B75" s="981" t="s">
        <v>288</v>
      </c>
      <c r="C75" s="981" t="s">
        <v>258</v>
      </c>
      <c r="D75" s="981">
        <v>440</v>
      </c>
      <c r="E75" s="981">
        <v>77</v>
      </c>
      <c r="F75" s="981">
        <v>17</v>
      </c>
      <c r="G75" s="981">
        <v>5</v>
      </c>
      <c r="H75" s="981">
        <v>32</v>
      </c>
      <c r="I75" s="981">
        <v>12</v>
      </c>
      <c r="J75" s="981">
        <v>7</v>
      </c>
      <c r="K75" s="981">
        <v>86</v>
      </c>
      <c r="L75" s="981">
        <v>17</v>
      </c>
      <c r="M75" s="981">
        <v>34</v>
      </c>
      <c r="N75" s="981">
        <v>29</v>
      </c>
      <c r="O75" s="981">
        <v>16</v>
      </c>
      <c r="P75" s="981">
        <v>13</v>
      </c>
      <c r="Q75" s="981">
        <v>10</v>
      </c>
      <c r="R75" s="981">
        <v>55</v>
      </c>
      <c r="S75" s="981">
        <v>30</v>
      </c>
    </row>
    <row r="76" spans="1:19" x14ac:dyDescent="0.25">
      <c r="A76" s="981" t="s">
        <v>37</v>
      </c>
      <c r="B76" s="981" t="s">
        <v>314</v>
      </c>
      <c r="C76" s="981" t="s">
        <v>206</v>
      </c>
      <c r="D76" s="981">
        <v>460</v>
      </c>
      <c r="E76" s="981">
        <v>40</v>
      </c>
      <c r="F76" s="981"/>
      <c r="G76" s="981"/>
      <c r="H76" s="981">
        <v>315</v>
      </c>
      <c r="I76" s="981">
        <v>37</v>
      </c>
      <c r="J76" s="981">
        <v>1</v>
      </c>
      <c r="K76" s="981">
        <v>34</v>
      </c>
      <c r="L76" s="981">
        <v>23</v>
      </c>
      <c r="M76" s="981">
        <v>1</v>
      </c>
      <c r="N76" s="981">
        <v>3</v>
      </c>
      <c r="O76" s="981">
        <v>2</v>
      </c>
      <c r="P76" s="981"/>
      <c r="Q76" s="981"/>
      <c r="R76" s="981">
        <v>1</v>
      </c>
      <c r="S76" s="981">
        <v>3</v>
      </c>
    </row>
    <row r="77" spans="1:19" x14ac:dyDescent="0.25">
      <c r="A77" s="981" t="s">
        <v>37</v>
      </c>
      <c r="B77" s="981" t="s">
        <v>314</v>
      </c>
      <c r="C77" s="981" t="s">
        <v>205</v>
      </c>
      <c r="D77" s="981">
        <v>598</v>
      </c>
      <c r="E77" s="981">
        <v>38</v>
      </c>
      <c r="F77" s="981">
        <v>1</v>
      </c>
      <c r="G77" s="981"/>
      <c r="H77" s="981">
        <v>489</v>
      </c>
      <c r="I77" s="981">
        <v>19</v>
      </c>
      <c r="J77" s="981"/>
      <c r="K77" s="981">
        <v>3</v>
      </c>
      <c r="L77" s="981">
        <v>21</v>
      </c>
      <c r="M77" s="981">
        <v>1</v>
      </c>
      <c r="N77" s="981">
        <v>13</v>
      </c>
      <c r="O77" s="981"/>
      <c r="P77" s="981">
        <v>3</v>
      </c>
      <c r="Q77" s="981">
        <v>1</v>
      </c>
      <c r="R77" s="981">
        <v>2</v>
      </c>
      <c r="S77" s="981">
        <v>7</v>
      </c>
    </row>
    <row r="78" spans="1:19" x14ac:dyDescent="0.25">
      <c r="A78" s="981" t="s">
        <v>37</v>
      </c>
      <c r="B78" s="981" t="s">
        <v>314</v>
      </c>
      <c r="C78" s="981" t="s">
        <v>278</v>
      </c>
      <c r="D78" s="981">
        <v>656</v>
      </c>
      <c r="E78" s="981">
        <v>37</v>
      </c>
      <c r="F78" s="981">
        <v>3</v>
      </c>
      <c r="G78" s="981">
        <v>1</v>
      </c>
      <c r="H78" s="981">
        <v>570</v>
      </c>
      <c r="I78" s="981">
        <v>3</v>
      </c>
      <c r="J78" s="981">
        <v>1</v>
      </c>
      <c r="K78" s="981">
        <v>28</v>
      </c>
      <c r="L78" s="981">
        <v>5</v>
      </c>
      <c r="M78" s="981"/>
      <c r="N78" s="981">
        <v>4</v>
      </c>
      <c r="O78" s="981"/>
      <c r="P78" s="981"/>
      <c r="Q78" s="981"/>
      <c r="R78" s="981">
        <v>2</v>
      </c>
      <c r="S78" s="981">
        <v>2</v>
      </c>
    </row>
    <row r="79" spans="1:19" x14ac:dyDescent="0.25">
      <c r="A79" s="981" t="s">
        <v>37</v>
      </c>
      <c r="B79" s="981" t="s">
        <v>314</v>
      </c>
      <c r="C79" s="981" t="s">
        <v>259</v>
      </c>
      <c r="D79" s="981">
        <v>306</v>
      </c>
      <c r="E79" s="981">
        <v>36</v>
      </c>
      <c r="F79" s="981">
        <v>2</v>
      </c>
      <c r="G79" s="981">
        <v>2</v>
      </c>
      <c r="H79" s="981">
        <v>195</v>
      </c>
      <c r="I79" s="981">
        <v>9</v>
      </c>
      <c r="J79" s="981">
        <v>1</v>
      </c>
      <c r="K79" s="981">
        <v>41</v>
      </c>
      <c r="L79" s="981">
        <v>5</v>
      </c>
      <c r="M79" s="981">
        <v>2</v>
      </c>
      <c r="N79" s="981">
        <v>2</v>
      </c>
      <c r="O79" s="981">
        <v>4</v>
      </c>
      <c r="P79" s="981"/>
      <c r="Q79" s="981">
        <v>1</v>
      </c>
      <c r="R79" s="981">
        <v>1</v>
      </c>
      <c r="S79" s="981">
        <v>5</v>
      </c>
    </row>
    <row r="80" spans="1:19" x14ac:dyDescent="0.25">
      <c r="A80" s="981" t="s">
        <v>37</v>
      </c>
      <c r="B80" s="981" t="s">
        <v>314</v>
      </c>
      <c r="C80" s="981" t="s">
        <v>258</v>
      </c>
      <c r="D80" s="981">
        <v>381</v>
      </c>
      <c r="E80" s="981">
        <v>39</v>
      </c>
      <c r="F80" s="981">
        <v>1</v>
      </c>
      <c r="G80" s="981"/>
      <c r="H80" s="981">
        <v>280</v>
      </c>
      <c r="I80" s="981">
        <v>14</v>
      </c>
      <c r="J80" s="981">
        <v>2</v>
      </c>
      <c r="K80" s="981">
        <v>15</v>
      </c>
      <c r="L80" s="981">
        <v>10</v>
      </c>
      <c r="M80" s="981">
        <v>1</v>
      </c>
      <c r="N80" s="981">
        <v>4</v>
      </c>
      <c r="O80" s="981"/>
      <c r="P80" s="981">
        <v>4</v>
      </c>
      <c r="Q80" s="981"/>
      <c r="R80" s="981">
        <v>6</v>
      </c>
      <c r="S80" s="981">
        <v>5</v>
      </c>
    </row>
    <row r="81" spans="1:19" x14ac:dyDescent="0.25">
      <c r="A81" s="981" t="s">
        <v>38</v>
      </c>
      <c r="B81" s="981" t="s">
        <v>289</v>
      </c>
      <c r="C81" s="981" t="s">
        <v>206</v>
      </c>
      <c r="D81" s="981">
        <v>153</v>
      </c>
      <c r="E81" s="981">
        <v>30</v>
      </c>
      <c r="F81" s="981">
        <v>13</v>
      </c>
      <c r="G81" s="981"/>
      <c r="H81" s="981">
        <v>19</v>
      </c>
      <c r="I81" s="981">
        <v>10</v>
      </c>
      <c r="J81" s="981"/>
      <c r="K81" s="981">
        <v>22</v>
      </c>
      <c r="L81" s="981">
        <v>11</v>
      </c>
      <c r="M81" s="981">
        <v>7</v>
      </c>
      <c r="N81" s="981">
        <v>11</v>
      </c>
      <c r="O81" s="981"/>
      <c r="P81" s="981">
        <v>4</v>
      </c>
      <c r="Q81" s="981"/>
      <c r="R81" s="981">
        <v>5</v>
      </c>
      <c r="S81" s="981">
        <v>21</v>
      </c>
    </row>
    <row r="82" spans="1:19" x14ac:dyDescent="0.25">
      <c r="A82" s="981" t="s">
        <v>38</v>
      </c>
      <c r="B82" s="981" t="s">
        <v>289</v>
      </c>
      <c r="C82" s="981" t="s">
        <v>205</v>
      </c>
      <c r="D82" s="981">
        <v>143</v>
      </c>
      <c r="E82" s="981">
        <v>57</v>
      </c>
      <c r="F82" s="981">
        <v>3</v>
      </c>
      <c r="G82" s="981"/>
      <c r="H82" s="981">
        <v>3</v>
      </c>
      <c r="I82" s="981">
        <v>8</v>
      </c>
      <c r="J82" s="981"/>
      <c r="K82" s="981">
        <v>28</v>
      </c>
      <c r="L82" s="981">
        <v>6</v>
      </c>
      <c r="M82" s="981">
        <v>12</v>
      </c>
      <c r="N82" s="981">
        <v>3</v>
      </c>
      <c r="O82" s="981">
        <v>2</v>
      </c>
      <c r="P82" s="981">
        <v>1</v>
      </c>
      <c r="Q82" s="981">
        <v>1</v>
      </c>
      <c r="R82" s="981">
        <v>3</v>
      </c>
      <c r="S82" s="981">
        <v>16</v>
      </c>
    </row>
    <row r="83" spans="1:19" x14ac:dyDescent="0.25">
      <c r="A83" s="981" t="s">
        <v>38</v>
      </c>
      <c r="B83" s="981" t="s">
        <v>289</v>
      </c>
      <c r="C83" s="981" t="s">
        <v>278</v>
      </c>
      <c r="D83" s="981">
        <v>164</v>
      </c>
      <c r="E83" s="981">
        <v>46</v>
      </c>
      <c r="F83" s="981">
        <v>22</v>
      </c>
      <c r="G83" s="981"/>
      <c r="H83" s="981">
        <v>9</v>
      </c>
      <c r="I83" s="981">
        <v>6</v>
      </c>
      <c r="J83" s="981"/>
      <c r="K83" s="981">
        <v>24</v>
      </c>
      <c r="L83" s="981">
        <v>4</v>
      </c>
      <c r="M83" s="981">
        <v>6</v>
      </c>
      <c r="N83" s="981">
        <v>7</v>
      </c>
      <c r="O83" s="981">
        <v>9</v>
      </c>
      <c r="P83" s="981">
        <v>4</v>
      </c>
      <c r="Q83" s="981">
        <v>2</v>
      </c>
      <c r="R83" s="981">
        <v>2</v>
      </c>
      <c r="S83" s="981">
        <v>23</v>
      </c>
    </row>
    <row r="84" spans="1:19" x14ac:dyDescent="0.25">
      <c r="A84" s="981" t="s">
        <v>38</v>
      </c>
      <c r="B84" s="981" t="s">
        <v>289</v>
      </c>
      <c r="C84" s="981" t="s">
        <v>259</v>
      </c>
      <c r="D84" s="981">
        <v>165</v>
      </c>
      <c r="E84" s="981">
        <v>59</v>
      </c>
      <c r="F84" s="981">
        <v>10</v>
      </c>
      <c r="G84" s="981">
        <v>2</v>
      </c>
      <c r="H84" s="981">
        <v>8</v>
      </c>
      <c r="I84" s="981">
        <v>5</v>
      </c>
      <c r="J84" s="981"/>
      <c r="K84" s="981">
        <v>25</v>
      </c>
      <c r="L84" s="981">
        <v>4</v>
      </c>
      <c r="M84" s="981">
        <v>12</v>
      </c>
      <c r="N84" s="981">
        <v>7</v>
      </c>
      <c r="O84" s="981">
        <v>7</v>
      </c>
      <c r="P84" s="981">
        <v>2</v>
      </c>
      <c r="Q84" s="981"/>
      <c r="R84" s="981">
        <v>15</v>
      </c>
      <c r="S84" s="981">
        <v>9</v>
      </c>
    </row>
    <row r="85" spans="1:19" x14ac:dyDescent="0.25">
      <c r="A85" s="981" t="s">
        <v>38</v>
      </c>
      <c r="B85" s="981" t="s">
        <v>289</v>
      </c>
      <c r="C85" s="981" t="s">
        <v>258</v>
      </c>
      <c r="D85" s="981">
        <v>145</v>
      </c>
      <c r="E85" s="981">
        <v>57</v>
      </c>
      <c r="F85" s="981">
        <v>7</v>
      </c>
      <c r="G85" s="981"/>
      <c r="H85" s="981">
        <v>7</v>
      </c>
      <c r="I85" s="981">
        <v>3</v>
      </c>
      <c r="J85" s="981"/>
      <c r="K85" s="981">
        <v>24</v>
      </c>
      <c r="L85" s="981">
        <v>9</v>
      </c>
      <c r="M85" s="981">
        <v>3</v>
      </c>
      <c r="N85" s="981">
        <v>6</v>
      </c>
      <c r="O85" s="981">
        <v>8</v>
      </c>
      <c r="P85" s="981">
        <v>2</v>
      </c>
      <c r="Q85" s="981"/>
      <c r="R85" s="981">
        <v>8</v>
      </c>
      <c r="S85" s="981">
        <v>11</v>
      </c>
    </row>
    <row r="86" spans="1:19" x14ac:dyDescent="0.25">
      <c r="A86" s="981" t="s">
        <v>39</v>
      </c>
      <c r="B86" s="981" t="s">
        <v>316</v>
      </c>
      <c r="C86" s="981" t="s">
        <v>206</v>
      </c>
      <c r="D86" s="981">
        <v>54</v>
      </c>
      <c r="E86" s="981">
        <v>18</v>
      </c>
      <c r="F86" s="981">
        <v>4</v>
      </c>
      <c r="G86" s="981"/>
      <c r="H86" s="981">
        <v>1</v>
      </c>
      <c r="I86" s="981">
        <v>5</v>
      </c>
      <c r="J86" s="981"/>
      <c r="K86" s="981">
        <v>5</v>
      </c>
      <c r="L86" s="981">
        <v>2</v>
      </c>
      <c r="M86" s="981">
        <v>4</v>
      </c>
      <c r="N86" s="981">
        <v>2</v>
      </c>
      <c r="O86" s="981">
        <v>1</v>
      </c>
      <c r="P86" s="981">
        <v>3</v>
      </c>
      <c r="Q86" s="981">
        <v>1</v>
      </c>
      <c r="R86" s="981">
        <v>2</v>
      </c>
      <c r="S86" s="981">
        <v>6</v>
      </c>
    </row>
    <row r="87" spans="1:19" x14ac:dyDescent="0.25">
      <c r="A87" s="981" t="s">
        <v>39</v>
      </c>
      <c r="B87" s="981" t="s">
        <v>316</v>
      </c>
      <c r="C87" s="981" t="s">
        <v>205</v>
      </c>
      <c r="D87" s="981">
        <v>95</v>
      </c>
      <c r="E87" s="981">
        <v>29</v>
      </c>
      <c r="F87" s="981">
        <v>7</v>
      </c>
      <c r="G87" s="981"/>
      <c r="H87" s="981">
        <v>24</v>
      </c>
      <c r="I87" s="981">
        <v>7</v>
      </c>
      <c r="J87" s="981"/>
      <c r="K87" s="981">
        <v>5</v>
      </c>
      <c r="L87" s="981">
        <v>2</v>
      </c>
      <c r="M87" s="981">
        <v>5</v>
      </c>
      <c r="N87" s="981">
        <v>3</v>
      </c>
      <c r="O87" s="981">
        <v>1</v>
      </c>
      <c r="P87" s="981">
        <v>5</v>
      </c>
      <c r="Q87" s="981"/>
      <c r="R87" s="981">
        <v>5</v>
      </c>
      <c r="S87" s="981">
        <v>2</v>
      </c>
    </row>
    <row r="88" spans="1:19" x14ac:dyDescent="0.25">
      <c r="A88" s="981" t="s">
        <v>39</v>
      </c>
      <c r="B88" s="981" t="s">
        <v>316</v>
      </c>
      <c r="C88" s="981" t="s">
        <v>278</v>
      </c>
      <c r="D88" s="981">
        <v>81</v>
      </c>
      <c r="E88" s="981">
        <v>28</v>
      </c>
      <c r="F88" s="981">
        <v>1</v>
      </c>
      <c r="G88" s="981"/>
      <c r="H88" s="981">
        <v>19</v>
      </c>
      <c r="I88" s="981">
        <v>11</v>
      </c>
      <c r="J88" s="981"/>
      <c r="K88" s="981">
        <v>6</v>
      </c>
      <c r="L88" s="981">
        <v>1</v>
      </c>
      <c r="M88" s="981">
        <v>1</v>
      </c>
      <c r="N88" s="981">
        <v>2</v>
      </c>
      <c r="O88" s="981">
        <v>2</v>
      </c>
      <c r="P88" s="981">
        <v>5</v>
      </c>
      <c r="Q88" s="981"/>
      <c r="R88" s="981">
        <v>4</v>
      </c>
      <c r="S88" s="981">
        <v>1</v>
      </c>
    </row>
    <row r="89" spans="1:19" x14ac:dyDescent="0.25">
      <c r="A89" s="981" t="s">
        <v>39</v>
      </c>
      <c r="B89" s="981" t="s">
        <v>316</v>
      </c>
      <c r="C89" s="981" t="s">
        <v>259</v>
      </c>
      <c r="D89" s="981">
        <v>92</v>
      </c>
      <c r="E89" s="981">
        <v>32</v>
      </c>
      <c r="F89" s="981">
        <v>1</v>
      </c>
      <c r="G89" s="981"/>
      <c r="H89" s="981">
        <v>22</v>
      </c>
      <c r="I89" s="981">
        <v>1</v>
      </c>
      <c r="J89" s="981"/>
      <c r="K89" s="981">
        <v>7</v>
      </c>
      <c r="L89" s="981">
        <v>4</v>
      </c>
      <c r="M89" s="981">
        <v>3</v>
      </c>
      <c r="N89" s="981">
        <v>5</v>
      </c>
      <c r="O89" s="981">
        <v>1</v>
      </c>
      <c r="P89" s="981">
        <v>3</v>
      </c>
      <c r="Q89" s="981">
        <v>3</v>
      </c>
      <c r="R89" s="981">
        <v>4</v>
      </c>
      <c r="S89" s="981">
        <v>6</v>
      </c>
    </row>
    <row r="90" spans="1:19" x14ac:dyDescent="0.25">
      <c r="A90" s="981" t="s">
        <v>39</v>
      </c>
      <c r="B90" s="981" t="s">
        <v>316</v>
      </c>
      <c r="C90" s="981" t="s">
        <v>258</v>
      </c>
      <c r="D90" s="981">
        <v>84</v>
      </c>
      <c r="E90" s="981">
        <v>26</v>
      </c>
      <c r="F90" s="981"/>
      <c r="G90" s="981">
        <v>2</v>
      </c>
      <c r="H90" s="981">
        <v>19</v>
      </c>
      <c r="I90" s="981">
        <v>2</v>
      </c>
      <c r="J90" s="981"/>
      <c r="K90" s="981">
        <v>5</v>
      </c>
      <c r="L90" s="981">
        <v>7</v>
      </c>
      <c r="M90" s="981">
        <v>2</v>
      </c>
      <c r="N90" s="981">
        <v>4</v>
      </c>
      <c r="O90" s="981">
        <v>1</v>
      </c>
      <c r="P90" s="981"/>
      <c r="Q90" s="981"/>
      <c r="R90" s="981">
        <v>4</v>
      </c>
      <c r="S90" s="981">
        <v>12</v>
      </c>
    </row>
    <row r="91" spans="1:19" x14ac:dyDescent="0.25">
      <c r="A91" s="981" t="s">
        <v>40</v>
      </c>
      <c r="B91" s="981" t="s">
        <v>290</v>
      </c>
      <c r="C91" s="981" t="s">
        <v>206</v>
      </c>
      <c r="D91" s="981">
        <v>102</v>
      </c>
      <c r="E91" s="981">
        <v>22</v>
      </c>
      <c r="F91" s="981">
        <v>3</v>
      </c>
      <c r="G91" s="981">
        <v>1</v>
      </c>
      <c r="H91" s="981">
        <v>24</v>
      </c>
      <c r="I91" s="981">
        <v>8</v>
      </c>
      <c r="J91" s="981">
        <v>7</v>
      </c>
      <c r="K91" s="981">
        <v>6</v>
      </c>
      <c r="L91" s="981">
        <v>4</v>
      </c>
      <c r="M91" s="981">
        <v>1</v>
      </c>
      <c r="N91" s="981">
        <v>12</v>
      </c>
      <c r="O91" s="981">
        <v>2</v>
      </c>
      <c r="P91" s="981"/>
      <c r="Q91" s="981">
        <v>1</v>
      </c>
      <c r="R91" s="981">
        <v>5</v>
      </c>
      <c r="S91" s="981">
        <v>6</v>
      </c>
    </row>
    <row r="92" spans="1:19" x14ac:dyDescent="0.25">
      <c r="A92" s="981" t="s">
        <v>40</v>
      </c>
      <c r="B92" s="981" t="s">
        <v>290</v>
      </c>
      <c r="C92" s="981" t="s">
        <v>205</v>
      </c>
      <c r="D92" s="981">
        <v>156</v>
      </c>
      <c r="E92" s="981">
        <v>27</v>
      </c>
      <c r="F92" s="981">
        <v>3</v>
      </c>
      <c r="G92" s="981">
        <v>1</v>
      </c>
      <c r="H92" s="981">
        <v>13</v>
      </c>
      <c r="I92" s="981">
        <v>8</v>
      </c>
      <c r="J92" s="981">
        <v>9</v>
      </c>
      <c r="K92" s="981">
        <v>32</v>
      </c>
      <c r="L92" s="981">
        <v>8</v>
      </c>
      <c r="M92" s="981">
        <v>4</v>
      </c>
      <c r="N92" s="981">
        <v>7</v>
      </c>
      <c r="O92" s="981">
        <v>22</v>
      </c>
      <c r="P92" s="981">
        <v>5</v>
      </c>
      <c r="Q92" s="981">
        <v>5</v>
      </c>
      <c r="R92" s="981">
        <v>3</v>
      </c>
      <c r="S92" s="981">
        <v>9</v>
      </c>
    </row>
    <row r="93" spans="1:19" x14ac:dyDescent="0.25">
      <c r="A93" s="981" t="s">
        <v>40</v>
      </c>
      <c r="B93" s="981" t="s">
        <v>290</v>
      </c>
      <c r="C93" s="981" t="s">
        <v>278</v>
      </c>
      <c r="D93" s="981">
        <v>139</v>
      </c>
      <c r="E93" s="981">
        <v>27</v>
      </c>
      <c r="F93" s="981">
        <v>3</v>
      </c>
      <c r="G93" s="981"/>
      <c r="H93" s="981">
        <v>12</v>
      </c>
      <c r="I93" s="981">
        <v>8</v>
      </c>
      <c r="J93" s="981">
        <v>9</v>
      </c>
      <c r="K93" s="981">
        <v>13</v>
      </c>
      <c r="L93" s="981">
        <v>9</v>
      </c>
      <c r="M93" s="981">
        <v>8</v>
      </c>
      <c r="N93" s="981">
        <v>11</v>
      </c>
      <c r="O93" s="981">
        <v>5</v>
      </c>
      <c r="P93" s="981">
        <v>5</v>
      </c>
      <c r="Q93" s="981">
        <v>1</v>
      </c>
      <c r="R93" s="981">
        <v>20</v>
      </c>
      <c r="S93" s="981">
        <v>8</v>
      </c>
    </row>
    <row r="94" spans="1:19" x14ac:dyDescent="0.25">
      <c r="A94" s="981" t="s">
        <v>40</v>
      </c>
      <c r="B94" s="981" t="s">
        <v>290</v>
      </c>
      <c r="C94" s="981" t="s">
        <v>259</v>
      </c>
      <c r="D94" s="981">
        <v>144</v>
      </c>
      <c r="E94" s="981">
        <v>28</v>
      </c>
      <c r="F94" s="981">
        <v>10</v>
      </c>
      <c r="G94" s="981"/>
      <c r="H94" s="981">
        <v>12</v>
      </c>
      <c r="I94" s="981">
        <v>5</v>
      </c>
      <c r="J94" s="981">
        <v>2</v>
      </c>
      <c r="K94" s="981">
        <v>11</v>
      </c>
      <c r="L94" s="981">
        <v>11</v>
      </c>
      <c r="M94" s="981">
        <v>8</v>
      </c>
      <c r="N94" s="981">
        <v>16</v>
      </c>
      <c r="O94" s="981">
        <v>21</v>
      </c>
      <c r="P94" s="981">
        <v>4</v>
      </c>
      <c r="Q94" s="981">
        <v>1</v>
      </c>
      <c r="R94" s="981">
        <v>13</v>
      </c>
      <c r="S94" s="981">
        <v>2</v>
      </c>
    </row>
    <row r="95" spans="1:19" x14ac:dyDescent="0.25">
      <c r="A95" s="981" t="s">
        <v>40</v>
      </c>
      <c r="B95" s="981" t="s">
        <v>290</v>
      </c>
      <c r="C95" s="981" t="s">
        <v>258</v>
      </c>
      <c r="D95" s="981">
        <v>149</v>
      </c>
      <c r="E95" s="981">
        <v>29</v>
      </c>
      <c r="F95" s="981">
        <v>5</v>
      </c>
      <c r="G95" s="981"/>
      <c r="H95" s="981">
        <v>6</v>
      </c>
      <c r="I95" s="981">
        <v>7</v>
      </c>
      <c r="J95" s="981">
        <v>9</v>
      </c>
      <c r="K95" s="981">
        <v>30</v>
      </c>
      <c r="L95" s="981">
        <v>7</v>
      </c>
      <c r="M95" s="981">
        <v>9</v>
      </c>
      <c r="N95" s="981">
        <v>13</v>
      </c>
      <c r="O95" s="981">
        <v>11</v>
      </c>
      <c r="P95" s="981">
        <v>2</v>
      </c>
      <c r="Q95" s="981">
        <v>1</v>
      </c>
      <c r="R95" s="981">
        <v>16</v>
      </c>
      <c r="S95" s="981">
        <v>4</v>
      </c>
    </row>
    <row r="96" spans="1:19" x14ac:dyDescent="0.25">
      <c r="A96" s="981" t="s">
        <v>41</v>
      </c>
      <c r="B96" s="981" t="s">
        <v>291</v>
      </c>
      <c r="C96" s="981" t="s">
        <v>206</v>
      </c>
      <c r="D96" s="981">
        <v>119</v>
      </c>
      <c r="E96" s="981">
        <v>14</v>
      </c>
      <c r="F96" s="981"/>
      <c r="G96" s="981">
        <v>1</v>
      </c>
      <c r="H96" s="981">
        <v>14</v>
      </c>
      <c r="I96" s="981">
        <v>1</v>
      </c>
      <c r="J96" s="981"/>
      <c r="K96" s="981">
        <v>7</v>
      </c>
      <c r="L96" s="981">
        <v>18</v>
      </c>
      <c r="M96" s="981">
        <v>11</v>
      </c>
      <c r="N96" s="981">
        <v>8</v>
      </c>
      <c r="O96" s="981">
        <v>2</v>
      </c>
      <c r="P96" s="981">
        <v>8</v>
      </c>
      <c r="Q96" s="981">
        <v>3</v>
      </c>
      <c r="R96" s="981">
        <v>7</v>
      </c>
      <c r="S96" s="981">
        <v>25</v>
      </c>
    </row>
    <row r="97" spans="1:19" x14ac:dyDescent="0.25">
      <c r="A97" s="981" t="s">
        <v>41</v>
      </c>
      <c r="B97" s="981" t="s">
        <v>291</v>
      </c>
      <c r="C97" s="981" t="s">
        <v>205</v>
      </c>
      <c r="D97" s="981">
        <v>57</v>
      </c>
      <c r="E97" s="981">
        <v>10</v>
      </c>
      <c r="F97" s="981"/>
      <c r="G97" s="981">
        <v>1</v>
      </c>
      <c r="H97" s="981"/>
      <c r="I97" s="981">
        <v>1</v>
      </c>
      <c r="J97" s="981"/>
      <c r="K97" s="981">
        <v>5</v>
      </c>
      <c r="L97" s="981">
        <v>4</v>
      </c>
      <c r="M97" s="981">
        <v>9</v>
      </c>
      <c r="N97" s="981">
        <v>1</v>
      </c>
      <c r="O97" s="981">
        <v>1</v>
      </c>
      <c r="P97" s="981">
        <v>3</v>
      </c>
      <c r="Q97" s="981"/>
      <c r="R97" s="981">
        <v>4</v>
      </c>
      <c r="S97" s="981">
        <v>18</v>
      </c>
    </row>
    <row r="98" spans="1:19" x14ac:dyDescent="0.25">
      <c r="A98" s="981" t="s">
        <v>41</v>
      </c>
      <c r="B98" s="981" t="s">
        <v>291</v>
      </c>
      <c r="C98" s="981" t="s">
        <v>278</v>
      </c>
      <c r="D98" s="981">
        <v>80</v>
      </c>
      <c r="E98" s="981">
        <v>20</v>
      </c>
      <c r="F98" s="981"/>
      <c r="G98" s="981"/>
      <c r="H98" s="981">
        <v>9</v>
      </c>
      <c r="I98" s="981">
        <v>1</v>
      </c>
      <c r="J98" s="981"/>
      <c r="K98" s="981">
        <v>8</v>
      </c>
      <c r="L98" s="981">
        <v>4</v>
      </c>
      <c r="M98" s="981">
        <v>14</v>
      </c>
      <c r="N98" s="981">
        <v>2</v>
      </c>
      <c r="O98" s="981">
        <v>4</v>
      </c>
      <c r="P98" s="981">
        <v>4</v>
      </c>
      <c r="Q98" s="981">
        <v>2</v>
      </c>
      <c r="R98" s="981">
        <v>2</v>
      </c>
      <c r="S98" s="981">
        <v>10</v>
      </c>
    </row>
    <row r="99" spans="1:19" x14ac:dyDescent="0.25">
      <c r="A99" s="981" t="s">
        <v>41</v>
      </c>
      <c r="B99" s="981" t="s">
        <v>291</v>
      </c>
      <c r="C99" s="981" t="s">
        <v>259</v>
      </c>
      <c r="D99" s="981">
        <v>30</v>
      </c>
      <c r="E99" s="981">
        <v>16</v>
      </c>
      <c r="F99" s="981">
        <v>1</v>
      </c>
      <c r="G99" s="981"/>
      <c r="H99" s="981">
        <v>2</v>
      </c>
      <c r="I99" s="981">
        <v>1</v>
      </c>
      <c r="J99" s="981"/>
      <c r="K99" s="981">
        <v>8</v>
      </c>
      <c r="L99" s="981"/>
      <c r="M99" s="981"/>
      <c r="N99" s="981"/>
      <c r="O99" s="981"/>
      <c r="P99" s="981"/>
      <c r="Q99" s="981"/>
      <c r="R99" s="981">
        <v>1</v>
      </c>
      <c r="S99" s="981">
        <v>1</v>
      </c>
    </row>
    <row r="100" spans="1:19" x14ac:dyDescent="0.25">
      <c r="A100" s="981" t="s">
        <v>41</v>
      </c>
      <c r="B100" s="981" t="s">
        <v>291</v>
      </c>
      <c r="C100" s="981" t="s">
        <v>258</v>
      </c>
      <c r="D100" s="981">
        <v>36</v>
      </c>
      <c r="E100" s="981">
        <v>15</v>
      </c>
      <c r="F100" s="981">
        <v>2</v>
      </c>
      <c r="G100" s="981">
        <v>1</v>
      </c>
      <c r="H100" s="981"/>
      <c r="I100" s="981">
        <v>1</v>
      </c>
      <c r="J100" s="981"/>
      <c r="K100" s="981">
        <v>6</v>
      </c>
      <c r="L100" s="981">
        <v>2</v>
      </c>
      <c r="M100" s="981"/>
      <c r="N100" s="981">
        <v>3</v>
      </c>
      <c r="O100" s="981">
        <v>1</v>
      </c>
      <c r="P100" s="981">
        <v>1</v>
      </c>
      <c r="Q100" s="981">
        <v>1</v>
      </c>
      <c r="R100" s="981">
        <v>2</v>
      </c>
      <c r="S100" s="981">
        <v>1</v>
      </c>
    </row>
    <row r="101" spans="1:19" x14ac:dyDescent="0.25">
      <c r="A101" s="981" t="s">
        <v>42</v>
      </c>
      <c r="B101" s="981" t="s">
        <v>293</v>
      </c>
      <c r="C101" s="981" t="s">
        <v>206</v>
      </c>
      <c r="D101" s="981">
        <v>243</v>
      </c>
      <c r="E101" s="981">
        <v>52</v>
      </c>
      <c r="F101" s="981">
        <v>30</v>
      </c>
      <c r="G101" s="981"/>
      <c r="H101" s="981">
        <v>15</v>
      </c>
      <c r="I101" s="981">
        <v>12</v>
      </c>
      <c r="J101" s="981">
        <v>1</v>
      </c>
      <c r="K101" s="981">
        <v>20</v>
      </c>
      <c r="L101" s="981">
        <v>27</v>
      </c>
      <c r="M101" s="981">
        <v>10</v>
      </c>
      <c r="N101" s="981">
        <v>17</v>
      </c>
      <c r="O101" s="981">
        <v>2</v>
      </c>
      <c r="P101" s="981">
        <v>10</v>
      </c>
      <c r="Q101" s="981">
        <v>7</v>
      </c>
      <c r="R101" s="981">
        <v>23</v>
      </c>
      <c r="S101" s="981">
        <v>17</v>
      </c>
    </row>
    <row r="102" spans="1:19" x14ac:dyDescent="0.25">
      <c r="A102" s="981" t="s">
        <v>42</v>
      </c>
      <c r="B102" s="981" t="s">
        <v>293</v>
      </c>
      <c r="C102" s="981" t="s">
        <v>205</v>
      </c>
      <c r="D102" s="981">
        <v>160</v>
      </c>
      <c r="E102" s="981">
        <v>45</v>
      </c>
      <c r="F102" s="981">
        <v>10</v>
      </c>
      <c r="G102" s="981">
        <v>2</v>
      </c>
      <c r="H102" s="981">
        <v>8</v>
      </c>
      <c r="I102" s="981">
        <v>10</v>
      </c>
      <c r="J102" s="981">
        <v>1</v>
      </c>
      <c r="K102" s="981">
        <v>18</v>
      </c>
      <c r="L102" s="981">
        <v>17</v>
      </c>
      <c r="M102" s="981">
        <v>8</v>
      </c>
      <c r="N102" s="981">
        <v>7</v>
      </c>
      <c r="O102" s="981">
        <v>5</v>
      </c>
      <c r="P102" s="981">
        <v>3</v>
      </c>
      <c r="Q102" s="981">
        <v>4</v>
      </c>
      <c r="R102" s="981">
        <v>6</v>
      </c>
      <c r="S102" s="981">
        <v>16</v>
      </c>
    </row>
    <row r="103" spans="1:19" x14ac:dyDescent="0.25">
      <c r="A103" s="981" t="s">
        <v>42</v>
      </c>
      <c r="B103" s="981" t="s">
        <v>293</v>
      </c>
      <c r="C103" s="981" t="s">
        <v>278</v>
      </c>
      <c r="D103" s="981">
        <v>160</v>
      </c>
      <c r="E103" s="981">
        <v>47</v>
      </c>
      <c r="F103" s="981">
        <v>16</v>
      </c>
      <c r="G103" s="981">
        <v>1</v>
      </c>
      <c r="H103" s="981">
        <v>9</v>
      </c>
      <c r="I103" s="981">
        <v>8</v>
      </c>
      <c r="J103" s="981">
        <v>1</v>
      </c>
      <c r="K103" s="981">
        <v>13</v>
      </c>
      <c r="L103" s="981">
        <v>9</v>
      </c>
      <c r="M103" s="981">
        <v>12</v>
      </c>
      <c r="N103" s="981">
        <v>2</v>
      </c>
      <c r="O103" s="981">
        <v>2</v>
      </c>
      <c r="P103" s="981"/>
      <c r="Q103" s="981">
        <v>5</v>
      </c>
      <c r="R103" s="981">
        <v>22</v>
      </c>
      <c r="S103" s="981">
        <v>13</v>
      </c>
    </row>
    <row r="104" spans="1:19" x14ac:dyDescent="0.25">
      <c r="A104" s="981" t="s">
        <v>42</v>
      </c>
      <c r="B104" s="981" t="s">
        <v>293</v>
      </c>
      <c r="C104" s="981" t="s">
        <v>259</v>
      </c>
      <c r="D104" s="981">
        <v>159</v>
      </c>
      <c r="E104" s="981">
        <v>41</v>
      </c>
      <c r="F104" s="981">
        <v>18</v>
      </c>
      <c r="G104" s="981"/>
      <c r="H104" s="981">
        <v>5</v>
      </c>
      <c r="I104" s="981">
        <v>14</v>
      </c>
      <c r="J104" s="981">
        <v>1</v>
      </c>
      <c r="K104" s="981">
        <v>13</v>
      </c>
      <c r="L104" s="981">
        <v>11</v>
      </c>
      <c r="M104" s="981">
        <v>6</v>
      </c>
      <c r="N104" s="981">
        <v>7</v>
      </c>
      <c r="O104" s="981"/>
      <c r="P104" s="981">
        <v>3</v>
      </c>
      <c r="Q104" s="981">
        <v>4</v>
      </c>
      <c r="R104" s="981">
        <v>25</v>
      </c>
      <c r="S104" s="981">
        <v>11</v>
      </c>
    </row>
    <row r="105" spans="1:19" x14ac:dyDescent="0.25">
      <c r="A105" s="981" t="s">
        <v>42</v>
      </c>
      <c r="B105" s="981" t="s">
        <v>293</v>
      </c>
      <c r="C105" s="981" t="s">
        <v>258</v>
      </c>
      <c r="D105" s="981">
        <v>201</v>
      </c>
      <c r="E105" s="981">
        <v>46</v>
      </c>
      <c r="F105" s="981">
        <v>13</v>
      </c>
      <c r="G105" s="981"/>
      <c r="H105" s="981">
        <v>5</v>
      </c>
      <c r="I105" s="981">
        <v>24</v>
      </c>
      <c r="J105" s="981">
        <v>1</v>
      </c>
      <c r="K105" s="981">
        <v>11</v>
      </c>
      <c r="L105" s="981">
        <v>19</v>
      </c>
      <c r="M105" s="981">
        <v>10</v>
      </c>
      <c r="N105" s="981">
        <v>9</v>
      </c>
      <c r="O105" s="981">
        <v>18</v>
      </c>
      <c r="P105" s="981">
        <v>5</v>
      </c>
      <c r="Q105" s="981">
        <v>6</v>
      </c>
      <c r="R105" s="981">
        <v>26</v>
      </c>
      <c r="S105" s="981">
        <v>8</v>
      </c>
    </row>
    <row r="106" spans="1:19" x14ac:dyDescent="0.25">
      <c r="A106" s="981" t="s">
        <v>43</v>
      </c>
      <c r="B106" s="981" t="s">
        <v>441</v>
      </c>
      <c r="C106" s="981" t="s">
        <v>206</v>
      </c>
      <c r="D106" s="981">
        <v>498</v>
      </c>
      <c r="E106" s="981">
        <v>118</v>
      </c>
      <c r="F106" s="981">
        <v>14</v>
      </c>
      <c r="G106" s="981">
        <v>2</v>
      </c>
      <c r="H106" s="981">
        <v>222</v>
      </c>
      <c r="I106" s="981">
        <v>13</v>
      </c>
      <c r="J106" s="981">
        <v>1</v>
      </c>
      <c r="K106" s="981">
        <v>57</v>
      </c>
      <c r="L106" s="981">
        <v>11</v>
      </c>
      <c r="M106" s="981">
        <v>10</v>
      </c>
      <c r="N106" s="981">
        <v>22</v>
      </c>
      <c r="O106" s="981">
        <v>3</v>
      </c>
      <c r="P106" s="981">
        <v>5</v>
      </c>
      <c r="Q106" s="981">
        <v>4</v>
      </c>
      <c r="R106" s="981">
        <v>3</v>
      </c>
      <c r="S106" s="981">
        <v>13</v>
      </c>
    </row>
    <row r="107" spans="1:19" x14ac:dyDescent="0.25">
      <c r="A107" s="981" t="s">
        <v>43</v>
      </c>
      <c r="B107" s="981" t="s">
        <v>441</v>
      </c>
      <c r="C107" s="981" t="s">
        <v>205</v>
      </c>
      <c r="D107" s="981">
        <v>618</v>
      </c>
      <c r="E107" s="981">
        <v>137</v>
      </c>
      <c r="F107" s="981">
        <v>23</v>
      </c>
      <c r="G107" s="981">
        <v>2</v>
      </c>
      <c r="H107" s="981">
        <v>272</v>
      </c>
      <c r="I107" s="981">
        <v>18</v>
      </c>
      <c r="J107" s="981">
        <v>1</v>
      </c>
      <c r="K107" s="981">
        <v>61</v>
      </c>
      <c r="L107" s="981">
        <v>9</v>
      </c>
      <c r="M107" s="981">
        <v>12</v>
      </c>
      <c r="N107" s="981">
        <v>18</v>
      </c>
      <c r="O107" s="981">
        <v>6</v>
      </c>
      <c r="P107" s="981">
        <v>12</v>
      </c>
      <c r="Q107" s="981">
        <v>4</v>
      </c>
      <c r="R107" s="981">
        <v>12</v>
      </c>
      <c r="S107" s="981">
        <v>31</v>
      </c>
    </row>
    <row r="108" spans="1:19" x14ac:dyDescent="0.25">
      <c r="A108" s="981" t="s">
        <v>43</v>
      </c>
      <c r="B108" s="981" t="s">
        <v>441</v>
      </c>
      <c r="C108" s="981" t="s">
        <v>278</v>
      </c>
      <c r="D108" s="981">
        <v>482</v>
      </c>
      <c r="E108" s="981">
        <v>132</v>
      </c>
      <c r="F108" s="981">
        <v>11</v>
      </c>
      <c r="G108" s="981">
        <v>6</v>
      </c>
      <c r="H108" s="981">
        <v>202</v>
      </c>
      <c r="I108" s="981">
        <v>24</v>
      </c>
      <c r="J108" s="981"/>
      <c r="K108" s="981">
        <v>31</v>
      </c>
      <c r="L108" s="981">
        <v>14</v>
      </c>
      <c r="M108" s="981">
        <v>9</v>
      </c>
      <c r="N108" s="981">
        <v>17</v>
      </c>
      <c r="O108" s="981">
        <v>5</v>
      </c>
      <c r="P108" s="981">
        <v>7</v>
      </c>
      <c r="Q108" s="981">
        <v>2</v>
      </c>
      <c r="R108" s="981">
        <v>7</v>
      </c>
      <c r="S108" s="981">
        <v>15</v>
      </c>
    </row>
    <row r="109" spans="1:19" x14ac:dyDescent="0.25">
      <c r="A109" s="981" t="s">
        <v>43</v>
      </c>
      <c r="B109" s="981" t="s">
        <v>441</v>
      </c>
      <c r="C109" s="981" t="s">
        <v>259</v>
      </c>
      <c r="D109" s="981">
        <v>464</v>
      </c>
      <c r="E109" s="981">
        <v>138</v>
      </c>
      <c r="F109" s="981">
        <v>10</v>
      </c>
      <c r="G109" s="981"/>
      <c r="H109" s="981">
        <v>175</v>
      </c>
      <c r="I109" s="981">
        <v>13</v>
      </c>
      <c r="J109" s="981">
        <v>2</v>
      </c>
      <c r="K109" s="981">
        <v>69</v>
      </c>
      <c r="L109" s="981">
        <v>8</v>
      </c>
      <c r="M109" s="981">
        <v>10</v>
      </c>
      <c r="N109" s="981">
        <v>9</v>
      </c>
      <c r="O109" s="981">
        <v>7</v>
      </c>
      <c r="P109" s="981">
        <v>5</v>
      </c>
      <c r="Q109" s="981">
        <v>2</v>
      </c>
      <c r="R109" s="981">
        <v>5</v>
      </c>
      <c r="S109" s="981">
        <v>11</v>
      </c>
    </row>
    <row r="110" spans="1:19" x14ac:dyDescent="0.25">
      <c r="A110" s="981" t="s">
        <v>43</v>
      </c>
      <c r="B110" s="981" t="s">
        <v>441</v>
      </c>
      <c r="C110" s="981" t="s">
        <v>258</v>
      </c>
      <c r="D110" s="981">
        <v>657</v>
      </c>
      <c r="E110" s="981">
        <v>135</v>
      </c>
      <c r="F110" s="981">
        <v>10</v>
      </c>
      <c r="G110" s="981"/>
      <c r="H110" s="981">
        <v>214</v>
      </c>
      <c r="I110" s="981">
        <v>29</v>
      </c>
      <c r="J110" s="981"/>
      <c r="K110" s="981">
        <v>85</v>
      </c>
      <c r="L110" s="981">
        <v>12</v>
      </c>
      <c r="M110" s="981">
        <v>5</v>
      </c>
      <c r="N110" s="981">
        <v>12</v>
      </c>
      <c r="O110" s="981">
        <v>10</v>
      </c>
      <c r="P110" s="981">
        <v>10</v>
      </c>
      <c r="Q110" s="981">
        <v>4</v>
      </c>
      <c r="R110" s="981">
        <v>122</v>
      </c>
      <c r="S110" s="981">
        <v>9</v>
      </c>
    </row>
    <row r="111" spans="1:19" x14ac:dyDescent="0.25">
      <c r="A111" s="981" t="s">
        <v>124</v>
      </c>
      <c r="B111" s="981" t="s">
        <v>317</v>
      </c>
      <c r="C111" s="981" t="s">
        <v>206</v>
      </c>
      <c r="D111" s="981">
        <v>1122</v>
      </c>
      <c r="E111" s="981">
        <v>102</v>
      </c>
      <c r="F111" s="981">
        <v>54</v>
      </c>
      <c r="G111" s="981">
        <v>11</v>
      </c>
      <c r="H111" s="981">
        <v>475</v>
      </c>
      <c r="I111" s="981">
        <v>41</v>
      </c>
      <c r="J111" s="981">
        <v>15</v>
      </c>
      <c r="K111" s="981">
        <v>83</v>
      </c>
      <c r="L111" s="981">
        <v>98</v>
      </c>
      <c r="M111" s="981">
        <v>63</v>
      </c>
      <c r="N111" s="981">
        <v>31</v>
      </c>
      <c r="O111" s="981">
        <v>1</v>
      </c>
      <c r="P111" s="981">
        <v>22</v>
      </c>
      <c r="Q111" s="981">
        <v>6</v>
      </c>
      <c r="R111" s="981">
        <v>27</v>
      </c>
      <c r="S111" s="981">
        <v>93</v>
      </c>
    </row>
    <row r="112" spans="1:19" x14ac:dyDescent="0.25">
      <c r="A112" s="981" t="s">
        <v>124</v>
      </c>
      <c r="B112" s="981" t="s">
        <v>317</v>
      </c>
      <c r="C112" s="981" t="s">
        <v>205</v>
      </c>
      <c r="D112" s="981">
        <v>1956</v>
      </c>
      <c r="E112" s="981">
        <v>165</v>
      </c>
      <c r="F112" s="981">
        <v>24</v>
      </c>
      <c r="G112" s="981">
        <v>12</v>
      </c>
      <c r="H112" s="981">
        <v>1115</v>
      </c>
      <c r="I112" s="981">
        <v>69</v>
      </c>
      <c r="J112" s="981">
        <v>27</v>
      </c>
      <c r="K112" s="981">
        <v>88</v>
      </c>
      <c r="L112" s="981">
        <v>139</v>
      </c>
      <c r="M112" s="981">
        <v>41</v>
      </c>
      <c r="N112" s="981">
        <v>33</v>
      </c>
      <c r="O112" s="981">
        <v>6</v>
      </c>
      <c r="P112" s="981">
        <v>24</v>
      </c>
      <c r="Q112" s="981">
        <v>5</v>
      </c>
      <c r="R112" s="981">
        <v>61</v>
      </c>
      <c r="S112" s="981">
        <v>147</v>
      </c>
    </row>
    <row r="113" spans="1:19" x14ac:dyDescent="0.25">
      <c r="A113" s="981" t="s">
        <v>124</v>
      </c>
      <c r="B113" s="981" t="s">
        <v>317</v>
      </c>
      <c r="C113" s="981" t="s">
        <v>278</v>
      </c>
      <c r="D113" s="981">
        <v>1562</v>
      </c>
      <c r="E113" s="981">
        <v>148</v>
      </c>
      <c r="F113" s="981">
        <v>18</v>
      </c>
      <c r="G113" s="981">
        <v>3</v>
      </c>
      <c r="H113" s="981">
        <v>958</v>
      </c>
      <c r="I113" s="981">
        <v>47</v>
      </c>
      <c r="J113" s="981">
        <v>19</v>
      </c>
      <c r="K113" s="981">
        <v>99</v>
      </c>
      <c r="L113" s="981">
        <v>84</v>
      </c>
      <c r="M113" s="981">
        <v>27</v>
      </c>
      <c r="N113" s="981">
        <v>24</v>
      </c>
      <c r="O113" s="981">
        <v>6</v>
      </c>
      <c r="P113" s="981">
        <v>25</v>
      </c>
      <c r="Q113" s="981">
        <v>7</v>
      </c>
      <c r="R113" s="981">
        <v>45</v>
      </c>
      <c r="S113" s="981">
        <v>52</v>
      </c>
    </row>
    <row r="114" spans="1:19" x14ac:dyDescent="0.25">
      <c r="A114" s="981" t="s">
        <v>124</v>
      </c>
      <c r="B114" s="981" t="s">
        <v>317</v>
      </c>
      <c r="C114" s="981" t="s">
        <v>259</v>
      </c>
      <c r="D114" s="981">
        <v>1187</v>
      </c>
      <c r="E114" s="981">
        <v>109</v>
      </c>
      <c r="F114" s="981">
        <v>5</v>
      </c>
      <c r="G114" s="981">
        <v>6</v>
      </c>
      <c r="H114" s="981">
        <v>831</v>
      </c>
      <c r="I114" s="981">
        <v>41</v>
      </c>
      <c r="J114" s="981">
        <v>15</v>
      </c>
      <c r="K114" s="981">
        <v>81</v>
      </c>
      <c r="L114" s="981">
        <v>25</v>
      </c>
      <c r="M114" s="981">
        <v>14</v>
      </c>
      <c r="N114" s="981">
        <v>9</v>
      </c>
      <c r="O114" s="981">
        <v>4</v>
      </c>
      <c r="P114" s="981">
        <v>3</v>
      </c>
      <c r="Q114" s="981">
        <v>5</v>
      </c>
      <c r="R114" s="981">
        <v>11</v>
      </c>
      <c r="S114" s="981">
        <v>28</v>
      </c>
    </row>
    <row r="115" spans="1:19" x14ac:dyDescent="0.25">
      <c r="A115" s="981" t="s">
        <v>124</v>
      </c>
      <c r="B115" s="981" t="s">
        <v>317</v>
      </c>
      <c r="C115" s="981" t="s">
        <v>258</v>
      </c>
      <c r="D115" s="981">
        <v>1126</v>
      </c>
      <c r="E115" s="981">
        <v>127</v>
      </c>
      <c r="F115" s="981">
        <v>10</v>
      </c>
      <c r="G115" s="981">
        <v>7</v>
      </c>
      <c r="H115" s="981">
        <v>602</v>
      </c>
      <c r="I115" s="981">
        <v>68</v>
      </c>
      <c r="J115" s="981">
        <v>13</v>
      </c>
      <c r="K115" s="981">
        <v>102</v>
      </c>
      <c r="L115" s="981">
        <v>51</v>
      </c>
      <c r="M115" s="981">
        <v>24</v>
      </c>
      <c r="N115" s="981">
        <v>26</v>
      </c>
      <c r="O115" s="981">
        <v>1</v>
      </c>
      <c r="P115" s="981">
        <v>18</v>
      </c>
      <c r="Q115" s="981">
        <v>2</v>
      </c>
      <c r="R115" s="981">
        <v>18</v>
      </c>
      <c r="S115" s="981">
        <v>57</v>
      </c>
    </row>
    <row r="116" spans="1:19" x14ac:dyDescent="0.25">
      <c r="A116" s="981" t="s">
        <v>44</v>
      </c>
      <c r="B116" s="981" t="s">
        <v>294</v>
      </c>
      <c r="C116" s="981" t="s">
        <v>206</v>
      </c>
      <c r="D116" s="981">
        <v>276</v>
      </c>
      <c r="E116" s="981">
        <v>83</v>
      </c>
      <c r="F116" s="981">
        <v>5</v>
      </c>
      <c r="G116" s="981"/>
      <c r="H116" s="981">
        <v>59</v>
      </c>
      <c r="I116" s="981">
        <v>12</v>
      </c>
      <c r="J116" s="981">
        <v>10</v>
      </c>
      <c r="K116" s="981">
        <v>92</v>
      </c>
      <c r="L116" s="981">
        <v>5</v>
      </c>
      <c r="M116" s="981"/>
      <c r="N116" s="981"/>
      <c r="O116" s="981">
        <v>5</v>
      </c>
      <c r="P116" s="981">
        <v>2</v>
      </c>
      <c r="Q116" s="981"/>
      <c r="R116" s="981"/>
      <c r="S116" s="981">
        <v>3</v>
      </c>
    </row>
    <row r="117" spans="1:19" x14ac:dyDescent="0.25">
      <c r="A117" s="981" t="s">
        <v>44</v>
      </c>
      <c r="B117" s="981" t="s">
        <v>294</v>
      </c>
      <c r="C117" s="981" t="s">
        <v>205</v>
      </c>
      <c r="D117" s="981">
        <v>336</v>
      </c>
      <c r="E117" s="981">
        <v>91</v>
      </c>
      <c r="F117" s="981">
        <v>2</v>
      </c>
      <c r="G117" s="981">
        <v>2</v>
      </c>
      <c r="H117" s="981">
        <v>76</v>
      </c>
      <c r="I117" s="981">
        <v>17</v>
      </c>
      <c r="J117" s="981">
        <v>6</v>
      </c>
      <c r="K117" s="981">
        <v>115</v>
      </c>
      <c r="L117" s="981">
        <v>8</v>
      </c>
      <c r="M117" s="981">
        <v>1</v>
      </c>
      <c r="N117" s="981">
        <v>2</v>
      </c>
      <c r="O117" s="981">
        <v>7</v>
      </c>
      <c r="P117" s="981">
        <v>3</v>
      </c>
      <c r="Q117" s="981">
        <v>1</v>
      </c>
      <c r="R117" s="981"/>
      <c r="S117" s="981">
        <v>5</v>
      </c>
    </row>
    <row r="118" spans="1:19" x14ac:dyDescent="0.25">
      <c r="A118" s="981" t="s">
        <v>44</v>
      </c>
      <c r="B118" s="981" t="s">
        <v>294</v>
      </c>
      <c r="C118" s="981" t="s">
        <v>278</v>
      </c>
      <c r="D118" s="981">
        <v>268</v>
      </c>
      <c r="E118" s="981">
        <v>93</v>
      </c>
      <c r="F118" s="981">
        <v>4</v>
      </c>
      <c r="G118" s="981"/>
      <c r="H118" s="981">
        <v>47</v>
      </c>
      <c r="I118" s="981">
        <v>18</v>
      </c>
      <c r="J118" s="981">
        <v>10</v>
      </c>
      <c r="K118" s="981">
        <v>67</v>
      </c>
      <c r="L118" s="981">
        <v>8</v>
      </c>
      <c r="M118" s="981">
        <v>1</v>
      </c>
      <c r="N118" s="981">
        <v>1</v>
      </c>
      <c r="O118" s="981">
        <v>9</v>
      </c>
      <c r="P118" s="981">
        <v>1</v>
      </c>
      <c r="Q118" s="981"/>
      <c r="R118" s="981">
        <v>1</v>
      </c>
      <c r="S118" s="981">
        <v>8</v>
      </c>
    </row>
    <row r="119" spans="1:19" x14ac:dyDescent="0.25">
      <c r="A119" s="981" t="s">
        <v>44</v>
      </c>
      <c r="B119" s="981" t="s">
        <v>294</v>
      </c>
      <c r="C119" s="981" t="s">
        <v>259</v>
      </c>
      <c r="D119" s="981">
        <v>286</v>
      </c>
      <c r="E119" s="981">
        <v>79</v>
      </c>
      <c r="F119" s="981">
        <v>2</v>
      </c>
      <c r="G119" s="981"/>
      <c r="H119" s="981">
        <v>60</v>
      </c>
      <c r="I119" s="981">
        <v>12</v>
      </c>
      <c r="J119" s="981">
        <v>27</v>
      </c>
      <c r="K119" s="981">
        <v>82</v>
      </c>
      <c r="L119" s="981">
        <v>4</v>
      </c>
      <c r="M119" s="981"/>
      <c r="N119" s="981">
        <v>4</v>
      </c>
      <c r="O119" s="981">
        <v>10</v>
      </c>
      <c r="P119" s="981">
        <v>2</v>
      </c>
      <c r="Q119" s="981">
        <v>1</v>
      </c>
      <c r="R119" s="981">
        <v>2</v>
      </c>
      <c r="S119" s="981">
        <v>1</v>
      </c>
    </row>
    <row r="120" spans="1:19" x14ac:dyDescent="0.25">
      <c r="A120" s="981" t="s">
        <v>44</v>
      </c>
      <c r="B120" s="981" t="s">
        <v>294</v>
      </c>
      <c r="C120" s="981" t="s">
        <v>258</v>
      </c>
      <c r="D120" s="981">
        <v>196</v>
      </c>
      <c r="E120" s="981">
        <v>81</v>
      </c>
      <c r="F120" s="981">
        <v>4</v>
      </c>
      <c r="G120" s="981"/>
      <c r="H120" s="981">
        <v>45</v>
      </c>
      <c r="I120" s="981">
        <v>15</v>
      </c>
      <c r="J120" s="981">
        <v>2</v>
      </c>
      <c r="K120" s="981">
        <v>25</v>
      </c>
      <c r="L120" s="981">
        <v>5</v>
      </c>
      <c r="M120" s="981">
        <v>3</v>
      </c>
      <c r="N120" s="981">
        <v>3</v>
      </c>
      <c r="O120" s="981">
        <v>3</v>
      </c>
      <c r="P120" s="981">
        <v>1</v>
      </c>
      <c r="Q120" s="981">
        <v>1</v>
      </c>
      <c r="R120" s="981">
        <v>4</v>
      </c>
      <c r="S120" s="981">
        <v>4</v>
      </c>
    </row>
    <row r="121" spans="1:19" x14ac:dyDescent="0.25">
      <c r="A121" s="981" t="s">
        <v>45</v>
      </c>
      <c r="B121" s="981" t="s">
        <v>295</v>
      </c>
      <c r="C121" s="981" t="s">
        <v>206</v>
      </c>
      <c r="D121" s="981">
        <v>147</v>
      </c>
      <c r="E121" s="981">
        <v>40</v>
      </c>
      <c r="F121" s="981">
        <v>7</v>
      </c>
      <c r="G121" s="981">
        <v>1</v>
      </c>
      <c r="H121" s="981">
        <v>9</v>
      </c>
      <c r="I121" s="981">
        <v>2</v>
      </c>
      <c r="J121" s="981"/>
      <c r="K121" s="981">
        <v>4</v>
      </c>
      <c r="L121" s="981">
        <v>7</v>
      </c>
      <c r="M121" s="981">
        <v>24</v>
      </c>
      <c r="N121" s="981">
        <v>9</v>
      </c>
      <c r="O121" s="981"/>
      <c r="P121" s="981">
        <v>7</v>
      </c>
      <c r="Q121" s="981">
        <v>3</v>
      </c>
      <c r="R121" s="981">
        <v>13</v>
      </c>
      <c r="S121" s="981">
        <v>21</v>
      </c>
    </row>
    <row r="122" spans="1:19" x14ac:dyDescent="0.25">
      <c r="A122" s="981" t="s">
        <v>45</v>
      </c>
      <c r="B122" s="981" t="s">
        <v>295</v>
      </c>
      <c r="C122" s="981" t="s">
        <v>205</v>
      </c>
      <c r="D122" s="981">
        <v>63</v>
      </c>
      <c r="E122" s="981">
        <v>21</v>
      </c>
      <c r="F122" s="981">
        <v>2</v>
      </c>
      <c r="G122" s="981">
        <v>1</v>
      </c>
      <c r="H122" s="981">
        <v>6</v>
      </c>
      <c r="I122" s="981">
        <v>6</v>
      </c>
      <c r="J122" s="981"/>
      <c r="K122" s="981"/>
      <c r="L122" s="981">
        <v>1</v>
      </c>
      <c r="M122" s="981">
        <v>4</v>
      </c>
      <c r="N122" s="981">
        <v>5</v>
      </c>
      <c r="O122" s="981">
        <v>2</v>
      </c>
      <c r="P122" s="981">
        <v>4</v>
      </c>
      <c r="Q122" s="981"/>
      <c r="R122" s="981">
        <v>3</v>
      </c>
      <c r="S122" s="981">
        <v>8</v>
      </c>
    </row>
    <row r="123" spans="1:19" x14ac:dyDescent="0.25">
      <c r="A123" s="981" t="s">
        <v>45</v>
      </c>
      <c r="B123" s="981" t="s">
        <v>295</v>
      </c>
      <c r="C123" s="981" t="s">
        <v>278</v>
      </c>
      <c r="D123" s="981">
        <v>115</v>
      </c>
      <c r="E123" s="981">
        <v>37</v>
      </c>
      <c r="F123" s="981">
        <v>9</v>
      </c>
      <c r="G123" s="981"/>
      <c r="H123" s="981">
        <v>7</v>
      </c>
      <c r="I123" s="981">
        <v>1</v>
      </c>
      <c r="J123" s="981"/>
      <c r="K123" s="981">
        <v>3</v>
      </c>
      <c r="L123" s="981">
        <v>11</v>
      </c>
      <c r="M123" s="981">
        <v>4</v>
      </c>
      <c r="N123" s="981">
        <v>4</v>
      </c>
      <c r="O123" s="981">
        <v>2</v>
      </c>
      <c r="P123" s="981">
        <v>4</v>
      </c>
      <c r="Q123" s="981">
        <v>3</v>
      </c>
      <c r="R123" s="981">
        <v>3</v>
      </c>
      <c r="S123" s="981">
        <v>27</v>
      </c>
    </row>
    <row r="124" spans="1:19" x14ac:dyDescent="0.25">
      <c r="A124" s="981" t="s">
        <v>45</v>
      </c>
      <c r="B124" s="981" t="s">
        <v>295</v>
      </c>
      <c r="C124" s="981" t="s">
        <v>259</v>
      </c>
      <c r="D124" s="981">
        <v>65</v>
      </c>
      <c r="E124" s="981">
        <v>35</v>
      </c>
      <c r="F124" s="981">
        <v>3</v>
      </c>
      <c r="G124" s="981">
        <v>1</v>
      </c>
      <c r="H124" s="981">
        <v>10</v>
      </c>
      <c r="I124" s="981"/>
      <c r="J124" s="981"/>
      <c r="K124" s="981">
        <v>6</v>
      </c>
      <c r="L124" s="981">
        <v>3</v>
      </c>
      <c r="M124" s="981">
        <v>1</v>
      </c>
      <c r="N124" s="981">
        <v>1</v>
      </c>
      <c r="O124" s="981">
        <v>1</v>
      </c>
      <c r="P124" s="981">
        <v>1</v>
      </c>
      <c r="Q124" s="981">
        <v>1</v>
      </c>
      <c r="R124" s="981">
        <v>1</v>
      </c>
      <c r="S124" s="981">
        <v>1</v>
      </c>
    </row>
    <row r="125" spans="1:19" x14ac:dyDescent="0.25">
      <c r="A125" s="981" t="s">
        <v>45</v>
      </c>
      <c r="B125" s="981" t="s">
        <v>295</v>
      </c>
      <c r="C125" s="981" t="s">
        <v>258</v>
      </c>
      <c r="D125" s="981">
        <v>78</v>
      </c>
      <c r="E125" s="981">
        <v>35</v>
      </c>
      <c r="F125" s="981">
        <v>2</v>
      </c>
      <c r="G125" s="981">
        <v>1</v>
      </c>
      <c r="H125" s="981">
        <v>7</v>
      </c>
      <c r="I125" s="981">
        <v>2</v>
      </c>
      <c r="J125" s="981"/>
      <c r="K125" s="981">
        <v>6</v>
      </c>
      <c r="L125" s="981">
        <v>3</v>
      </c>
      <c r="M125" s="981">
        <v>2</v>
      </c>
      <c r="N125" s="981">
        <v>3</v>
      </c>
      <c r="O125" s="981"/>
      <c r="P125" s="981">
        <v>4</v>
      </c>
      <c r="Q125" s="981"/>
      <c r="R125" s="981">
        <v>10</v>
      </c>
      <c r="S125" s="981">
        <v>3</v>
      </c>
    </row>
    <row r="126" spans="1:19" x14ac:dyDescent="0.25">
      <c r="A126" s="981" t="s">
        <v>46</v>
      </c>
      <c r="B126" s="981" t="s">
        <v>296</v>
      </c>
      <c r="C126" s="981" t="s">
        <v>206</v>
      </c>
      <c r="D126" s="981">
        <v>126</v>
      </c>
      <c r="E126" s="981">
        <v>18</v>
      </c>
      <c r="F126" s="981">
        <v>1</v>
      </c>
      <c r="G126" s="981">
        <v>1</v>
      </c>
      <c r="H126" s="981">
        <v>35</v>
      </c>
      <c r="I126" s="981">
        <v>3</v>
      </c>
      <c r="J126" s="981">
        <v>5</v>
      </c>
      <c r="K126" s="981">
        <v>2</v>
      </c>
      <c r="L126" s="981">
        <v>4</v>
      </c>
      <c r="M126" s="981">
        <v>1</v>
      </c>
      <c r="N126" s="981"/>
      <c r="O126" s="981">
        <v>2</v>
      </c>
      <c r="P126" s="981">
        <v>2</v>
      </c>
      <c r="Q126" s="981"/>
      <c r="R126" s="981">
        <v>14</v>
      </c>
      <c r="S126" s="981">
        <v>38</v>
      </c>
    </row>
    <row r="127" spans="1:19" x14ac:dyDescent="0.25">
      <c r="A127" s="981" t="s">
        <v>46</v>
      </c>
      <c r="B127" s="981" t="s">
        <v>296</v>
      </c>
      <c r="C127" s="981" t="s">
        <v>205</v>
      </c>
      <c r="D127" s="981">
        <v>98</v>
      </c>
      <c r="E127" s="981">
        <v>16</v>
      </c>
      <c r="F127" s="981">
        <v>4</v>
      </c>
      <c r="G127" s="981"/>
      <c r="H127" s="981">
        <v>23</v>
      </c>
      <c r="I127" s="981">
        <v>3</v>
      </c>
      <c r="J127" s="981">
        <v>3</v>
      </c>
      <c r="K127" s="981">
        <v>6</v>
      </c>
      <c r="L127" s="981">
        <v>6</v>
      </c>
      <c r="M127" s="981">
        <v>1</v>
      </c>
      <c r="N127" s="981">
        <v>4</v>
      </c>
      <c r="O127" s="981">
        <v>1</v>
      </c>
      <c r="P127" s="981">
        <v>2</v>
      </c>
      <c r="Q127" s="981">
        <v>1</v>
      </c>
      <c r="R127" s="981">
        <v>12</v>
      </c>
      <c r="S127" s="981">
        <v>16</v>
      </c>
    </row>
    <row r="128" spans="1:19" x14ac:dyDescent="0.25">
      <c r="A128" s="981" t="s">
        <v>46</v>
      </c>
      <c r="B128" s="981" t="s">
        <v>296</v>
      </c>
      <c r="C128" s="981" t="s">
        <v>278</v>
      </c>
      <c r="D128" s="981">
        <v>97</v>
      </c>
      <c r="E128" s="981">
        <v>19</v>
      </c>
      <c r="F128" s="981">
        <v>3</v>
      </c>
      <c r="G128" s="981"/>
      <c r="H128" s="981">
        <v>21</v>
      </c>
      <c r="I128" s="981">
        <v>3</v>
      </c>
      <c r="J128" s="981">
        <v>3</v>
      </c>
      <c r="K128" s="981">
        <v>10</v>
      </c>
      <c r="L128" s="981">
        <v>3</v>
      </c>
      <c r="M128" s="981"/>
      <c r="N128" s="981"/>
      <c r="O128" s="981"/>
      <c r="P128" s="981">
        <v>1</v>
      </c>
      <c r="Q128" s="981"/>
      <c r="R128" s="981">
        <v>31</v>
      </c>
      <c r="S128" s="981">
        <v>3</v>
      </c>
    </row>
    <row r="129" spans="1:19" x14ac:dyDescent="0.25">
      <c r="A129" s="981" t="s">
        <v>46</v>
      </c>
      <c r="B129" s="981" t="s">
        <v>296</v>
      </c>
      <c r="C129" s="981" t="s">
        <v>259</v>
      </c>
      <c r="D129" s="981">
        <v>95</v>
      </c>
      <c r="E129" s="981">
        <v>16</v>
      </c>
      <c r="F129" s="981">
        <v>4</v>
      </c>
      <c r="G129" s="981">
        <v>2</v>
      </c>
      <c r="H129" s="981">
        <v>32</v>
      </c>
      <c r="I129" s="981">
        <v>3</v>
      </c>
      <c r="J129" s="981">
        <v>3</v>
      </c>
      <c r="K129" s="981">
        <v>5</v>
      </c>
      <c r="L129" s="981">
        <v>11</v>
      </c>
      <c r="M129" s="981">
        <v>2</v>
      </c>
      <c r="N129" s="981">
        <v>3</v>
      </c>
      <c r="O129" s="981">
        <v>1</v>
      </c>
      <c r="P129" s="981">
        <v>4</v>
      </c>
      <c r="Q129" s="981">
        <v>3</v>
      </c>
      <c r="R129" s="981">
        <v>2</v>
      </c>
      <c r="S129" s="981">
        <v>4</v>
      </c>
    </row>
    <row r="130" spans="1:19" x14ac:dyDescent="0.25">
      <c r="A130" s="981" t="s">
        <v>46</v>
      </c>
      <c r="B130" s="981" t="s">
        <v>296</v>
      </c>
      <c r="C130" s="981" t="s">
        <v>258</v>
      </c>
      <c r="D130" s="981">
        <v>138</v>
      </c>
      <c r="E130" s="981">
        <v>19</v>
      </c>
      <c r="F130" s="981">
        <v>6</v>
      </c>
      <c r="G130" s="981">
        <v>2</v>
      </c>
      <c r="H130" s="981">
        <v>17</v>
      </c>
      <c r="I130" s="981">
        <v>3</v>
      </c>
      <c r="J130" s="981">
        <v>2</v>
      </c>
      <c r="K130" s="981">
        <v>13</v>
      </c>
      <c r="L130" s="981">
        <v>20</v>
      </c>
      <c r="M130" s="981">
        <v>4</v>
      </c>
      <c r="N130" s="981">
        <v>3</v>
      </c>
      <c r="O130" s="981">
        <v>2</v>
      </c>
      <c r="P130" s="981">
        <v>11</v>
      </c>
      <c r="Q130" s="981">
        <v>2</v>
      </c>
      <c r="R130" s="981">
        <v>12</v>
      </c>
      <c r="S130" s="981">
        <v>22</v>
      </c>
    </row>
    <row r="131" spans="1:19" x14ac:dyDescent="0.25">
      <c r="A131" s="981" t="s">
        <v>47</v>
      </c>
      <c r="B131" s="981" t="s">
        <v>297</v>
      </c>
      <c r="C131" s="981" t="s">
        <v>206</v>
      </c>
      <c r="D131" s="981">
        <v>114</v>
      </c>
      <c r="E131" s="981">
        <v>15</v>
      </c>
      <c r="F131" s="981">
        <v>16</v>
      </c>
      <c r="G131" s="981"/>
      <c r="H131" s="981">
        <v>14</v>
      </c>
      <c r="I131" s="981"/>
      <c r="J131" s="981"/>
      <c r="K131" s="981">
        <v>46</v>
      </c>
      <c r="L131" s="981">
        <v>4</v>
      </c>
      <c r="M131" s="981">
        <v>3</v>
      </c>
      <c r="N131" s="981">
        <v>6</v>
      </c>
      <c r="O131" s="981">
        <v>8</v>
      </c>
      <c r="P131" s="981"/>
      <c r="Q131" s="981">
        <v>1</v>
      </c>
      <c r="R131" s="981"/>
      <c r="S131" s="981">
        <v>1</v>
      </c>
    </row>
    <row r="132" spans="1:19" x14ac:dyDescent="0.25">
      <c r="A132" s="981" t="s">
        <v>47</v>
      </c>
      <c r="B132" s="981" t="s">
        <v>297</v>
      </c>
      <c r="C132" s="981" t="s">
        <v>205</v>
      </c>
      <c r="D132" s="981">
        <v>193</v>
      </c>
      <c r="E132" s="981">
        <v>38</v>
      </c>
      <c r="F132" s="981">
        <v>43</v>
      </c>
      <c r="G132" s="981"/>
      <c r="H132" s="981">
        <v>13</v>
      </c>
      <c r="I132" s="981">
        <v>11</v>
      </c>
      <c r="J132" s="981">
        <v>4</v>
      </c>
      <c r="K132" s="981">
        <v>38</v>
      </c>
      <c r="L132" s="981">
        <v>2</v>
      </c>
      <c r="M132" s="981">
        <v>7</v>
      </c>
      <c r="N132" s="981">
        <v>3</v>
      </c>
      <c r="O132" s="981">
        <v>28</v>
      </c>
      <c r="P132" s="981"/>
      <c r="Q132" s="981">
        <v>2</v>
      </c>
      <c r="R132" s="981">
        <v>2</v>
      </c>
      <c r="S132" s="981">
        <v>2</v>
      </c>
    </row>
    <row r="133" spans="1:19" x14ac:dyDescent="0.25">
      <c r="A133" s="981" t="s">
        <v>47</v>
      </c>
      <c r="B133" s="981" t="s">
        <v>297</v>
      </c>
      <c r="C133" s="981" t="s">
        <v>278</v>
      </c>
      <c r="D133" s="981">
        <v>142</v>
      </c>
      <c r="E133" s="981">
        <v>31</v>
      </c>
      <c r="F133" s="981">
        <v>19</v>
      </c>
      <c r="G133" s="981"/>
      <c r="H133" s="981">
        <v>4</v>
      </c>
      <c r="I133" s="981">
        <v>8</v>
      </c>
      <c r="J133" s="981">
        <v>1</v>
      </c>
      <c r="K133" s="981">
        <v>28</v>
      </c>
      <c r="L133" s="981">
        <v>7</v>
      </c>
      <c r="M133" s="981">
        <v>2</v>
      </c>
      <c r="N133" s="981">
        <v>3</v>
      </c>
      <c r="O133" s="981">
        <v>15</v>
      </c>
      <c r="P133" s="981"/>
      <c r="Q133" s="981">
        <v>1</v>
      </c>
      <c r="R133" s="981">
        <v>20</v>
      </c>
      <c r="S133" s="981">
        <v>3</v>
      </c>
    </row>
    <row r="134" spans="1:19" x14ac:dyDescent="0.25">
      <c r="A134" s="981" t="s">
        <v>47</v>
      </c>
      <c r="B134" s="981" t="s">
        <v>297</v>
      </c>
      <c r="C134" s="981" t="s">
        <v>259</v>
      </c>
      <c r="D134" s="981">
        <v>216</v>
      </c>
      <c r="E134" s="981">
        <v>42</v>
      </c>
      <c r="F134" s="981">
        <v>14</v>
      </c>
      <c r="G134" s="981">
        <v>2</v>
      </c>
      <c r="H134" s="981">
        <v>15</v>
      </c>
      <c r="I134" s="981">
        <v>10</v>
      </c>
      <c r="J134" s="981">
        <v>2</v>
      </c>
      <c r="K134" s="981">
        <v>45</v>
      </c>
      <c r="L134" s="981">
        <v>3</v>
      </c>
      <c r="M134" s="981">
        <v>9</v>
      </c>
      <c r="N134" s="981">
        <v>3</v>
      </c>
      <c r="O134" s="981">
        <v>44</v>
      </c>
      <c r="P134" s="981">
        <v>1</v>
      </c>
      <c r="Q134" s="981"/>
      <c r="R134" s="981">
        <v>21</v>
      </c>
      <c r="S134" s="981">
        <v>5</v>
      </c>
    </row>
    <row r="135" spans="1:19" x14ac:dyDescent="0.25">
      <c r="A135" s="981" t="s">
        <v>47</v>
      </c>
      <c r="B135" s="981" t="s">
        <v>297</v>
      </c>
      <c r="C135" s="981" t="s">
        <v>258</v>
      </c>
      <c r="D135" s="981">
        <v>130</v>
      </c>
      <c r="E135" s="981">
        <v>31</v>
      </c>
      <c r="F135" s="981">
        <v>7</v>
      </c>
      <c r="G135" s="981"/>
      <c r="H135" s="981">
        <v>9</v>
      </c>
      <c r="I135" s="981">
        <v>8</v>
      </c>
      <c r="J135" s="981">
        <v>1</v>
      </c>
      <c r="K135" s="981">
        <v>11</v>
      </c>
      <c r="L135" s="981">
        <v>4</v>
      </c>
      <c r="M135" s="981">
        <v>8</v>
      </c>
      <c r="N135" s="981">
        <v>2</v>
      </c>
      <c r="O135" s="981">
        <v>28</v>
      </c>
      <c r="P135" s="981">
        <v>3</v>
      </c>
      <c r="Q135" s="981">
        <v>1</v>
      </c>
      <c r="R135" s="981">
        <v>3</v>
      </c>
      <c r="S135" s="981">
        <v>14</v>
      </c>
    </row>
    <row r="136" spans="1:19" x14ac:dyDescent="0.25">
      <c r="A136" s="981" t="s">
        <v>48</v>
      </c>
      <c r="B136" s="981" t="s">
        <v>292</v>
      </c>
      <c r="C136" s="981" t="s">
        <v>206</v>
      </c>
      <c r="D136" s="981">
        <v>19</v>
      </c>
      <c r="E136" s="981">
        <v>6</v>
      </c>
      <c r="F136" s="981"/>
      <c r="G136" s="981"/>
      <c r="H136" s="981">
        <v>7</v>
      </c>
      <c r="I136" s="981">
        <v>2</v>
      </c>
      <c r="J136" s="981"/>
      <c r="K136" s="981">
        <v>2</v>
      </c>
      <c r="L136" s="981"/>
      <c r="M136" s="981">
        <v>1</v>
      </c>
      <c r="N136" s="981"/>
      <c r="O136" s="981"/>
      <c r="P136" s="981"/>
      <c r="Q136" s="981"/>
      <c r="R136" s="981">
        <v>1</v>
      </c>
      <c r="S136" s="981"/>
    </row>
    <row r="137" spans="1:19" x14ac:dyDescent="0.25">
      <c r="A137" s="981" t="s">
        <v>48</v>
      </c>
      <c r="B137" s="981" t="s">
        <v>292</v>
      </c>
      <c r="C137" s="981" t="s">
        <v>205</v>
      </c>
      <c r="D137" s="981">
        <v>9</v>
      </c>
      <c r="E137" s="981">
        <v>4</v>
      </c>
      <c r="F137" s="981"/>
      <c r="G137" s="981"/>
      <c r="H137" s="981"/>
      <c r="I137" s="981">
        <v>1</v>
      </c>
      <c r="J137" s="981">
        <v>2</v>
      </c>
      <c r="K137" s="981">
        <v>1</v>
      </c>
      <c r="L137" s="981"/>
      <c r="M137" s="981"/>
      <c r="N137" s="981"/>
      <c r="O137" s="981"/>
      <c r="P137" s="981"/>
      <c r="Q137" s="981"/>
      <c r="R137" s="981"/>
      <c r="S137" s="981">
        <v>1</v>
      </c>
    </row>
    <row r="138" spans="1:19" x14ac:dyDescent="0.25">
      <c r="A138" s="981" t="s">
        <v>48</v>
      </c>
      <c r="B138" s="981" t="s">
        <v>292</v>
      </c>
      <c r="C138" s="981" t="s">
        <v>278</v>
      </c>
      <c r="D138" s="981">
        <v>21</v>
      </c>
      <c r="E138" s="981">
        <v>7</v>
      </c>
      <c r="F138" s="981"/>
      <c r="G138" s="981"/>
      <c r="H138" s="981">
        <v>2</v>
      </c>
      <c r="I138" s="981">
        <v>2</v>
      </c>
      <c r="J138" s="981">
        <v>1</v>
      </c>
      <c r="K138" s="981">
        <v>8</v>
      </c>
      <c r="L138" s="981"/>
      <c r="M138" s="981"/>
      <c r="N138" s="981"/>
      <c r="O138" s="981">
        <v>1</v>
      </c>
      <c r="P138" s="981"/>
      <c r="Q138" s="981"/>
      <c r="R138" s="981"/>
      <c r="S138" s="981"/>
    </row>
    <row r="139" spans="1:19" x14ac:dyDescent="0.25">
      <c r="A139" s="981" t="s">
        <v>48</v>
      </c>
      <c r="B139" s="981" t="s">
        <v>292</v>
      </c>
      <c r="C139" s="981" t="s">
        <v>259</v>
      </c>
      <c r="D139" s="981">
        <v>23</v>
      </c>
      <c r="E139" s="981">
        <v>11</v>
      </c>
      <c r="F139" s="981"/>
      <c r="G139" s="981"/>
      <c r="H139" s="981"/>
      <c r="I139" s="981">
        <v>4</v>
      </c>
      <c r="J139" s="981"/>
      <c r="K139" s="981">
        <v>5</v>
      </c>
      <c r="L139" s="981"/>
      <c r="M139" s="981"/>
      <c r="N139" s="981"/>
      <c r="O139" s="981">
        <v>2</v>
      </c>
      <c r="P139" s="981"/>
      <c r="Q139" s="981"/>
      <c r="R139" s="981"/>
      <c r="S139" s="981">
        <v>1</v>
      </c>
    </row>
    <row r="140" spans="1:19" x14ac:dyDescent="0.25">
      <c r="A140" s="981" t="s">
        <v>48</v>
      </c>
      <c r="B140" s="981" t="s">
        <v>292</v>
      </c>
      <c r="C140" s="981" t="s">
        <v>258</v>
      </c>
      <c r="D140" s="981">
        <v>21</v>
      </c>
      <c r="E140" s="981">
        <v>6</v>
      </c>
      <c r="F140" s="981">
        <v>2</v>
      </c>
      <c r="G140" s="981"/>
      <c r="H140" s="981"/>
      <c r="I140" s="981">
        <v>2</v>
      </c>
      <c r="J140" s="981"/>
      <c r="K140" s="981">
        <v>8</v>
      </c>
      <c r="L140" s="981">
        <v>1</v>
      </c>
      <c r="M140" s="981">
        <v>1</v>
      </c>
      <c r="N140" s="981"/>
      <c r="O140" s="981"/>
      <c r="P140" s="981"/>
      <c r="Q140" s="981"/>
      <c r="R140" s="981">
        <v>1</v>
      </c>
      <c r="S140" s="981"/>
    </row>
    <row r="141" spans="1:19" x14ac:dyDescent="0.25">
      <c r="A141" s="981" t="s">
        <v>49</v>
      </c>
      <c r="B141" s="981" t="s">
        <v>298</v>
      </c>
      <c r="C141" s="981" t="s">
        <v>206</v>
      </c>
      <c r="D141" s="981">
        <v>109</v>
      </c>
      <c r="E141" s="981">
        <v>58</v>
      </c>
      <c r="F141" s="981">
        <v>1</v>
      </c>
      <c r="G141" s="981"/>
      <c r="H141" s="981">
        <v>2</v>
      </c>
      <c r="I141" s="981">
        <v>7</v>
      </c>
      <c r="J141" s="981">
        <v>1</v>
      </c>
      <c r="K141" s="981">
        <v>6</v>
      </c>
      <c r="L141" s="981">
        <v>1</v>
      </c>
      <c r="M141" s="981">
        <v>6</v>
      </c>
      <c r="N141" s="981">
        <v>9</v>
      </c>
      <c r="O141" s="981">
        <v>1</v>
      </c>
      <c r="P141" s="981">
        <v>3</v>
      </c>
      <c r="Q141" s="981">
        <v>1</v>
      </c>
      <c r="R141" s="981">
        <v>2</v>
      </c>
      <c r="S141" s="981">
        <v>11</v>
      </c>
    </row>
    <row r="142" spans="1:19" x14ac:dyDescent="0.25">
      <c r="A142" s="981" t="s">
        <v>49</v>
      </c>
      <c r="B142" s="981" t="s">
        <v>298</v>
      </c>
      <c r="C142" s="981" t="s">
        <v>205</v>
      </c>
      <c r="D142" s="981">
        <v>263</v>
      </c>
      <c r="E142" s="981">
        <v>72</v>
      </c>
      <c r="F142" s="981">
        <v>34</v>
      </c>
      <c r="G142" s="981"/>
      <c r="H142" s="981">
        <v>6</v>
      </c>
      <c r="I142" s="981">
        <v>5</v>
      </c>
      <c r="J142" s="981">
        <v>4</v>
      </c>
      <c r="K142" s="981">
        <v>36</v>
      </c>
      <c r="L142" s="981">
        <v>4</v>
      </c>
      <c r="M142" s="981">
        <v>4</v>
      </c>
      <c r="N142" s="981">
        <v>13</v>
      </c>
      <c r="O142" s="981">
        <v>30</v>
      </c>
      <c r="P142" s="981">
        <v>10</v>
      </c>
      <c r="Q142" s="981">
        <v>1</v>
      </c>
      <c r="R142" s="981">
        <v>5</v>
      </c>
      <c r="S142" s="981">
        <v>39</v>
      </c>
    </row>
    <row r="143" spans="1:19" x14ac:dyDescent="0.25">
      <c r="A143" s="981" t="s">
        <v>49</v>
      </c>
      <c r="B143" s="981" t="s">
        <v>298</v>
      </c>
      <c r="C143" s="981" t="s">
        <v>278</v>
      </c>
      <c r="D143" s="981">
        <v>230</v>
      </c>
      <c r="E143" s="981">
        <v>72</v>
      </c>
      <c r="F143" s="981">
        <v>22</v>
      </c>
      <c r="G143" s="981"/>
      <c r="H143" s="981">
        <v>6</v>
      </c>
      <c r="I143" s="981">
        <v>5</v>
      </c>
      <c r="J143" s="981">
        <v>3</v>
      </c>
      <c r="K143" s="981">
        <v>20</v>
      </c>
      <c r="L143" s="981">
        <v>9</v>
      </c>
      <c r="M143" s="981">
        <v>5</v>
      </c>
      <c r="N143" s="981">
        <v>16</v>
      </c>
      <c r="O143" s="981">
        <v>47</v>
      </c>
      <c r="P143" s="981">
        <v>4</v>
      </c>
      <c r="Q143" s="981">
        <v>1</v>
      </c>
      <c r="R143" s="981">
        <v>9</v>
      </c>
      <c r="S143" s="981">
        <v>11</v>
      </c>
    </row>
    <row r="144" spans="1:19" x14ac:dyDescent="0.25">
      <c r="A144" s="981" t="s">
        <v>49</v>
      </c>
      <c r="B144" s="981" t="s">
        <v>298</v>
      </c>
      <c r="C144" s="981" t="s">
        <v>259</v>
      </c>
      <c r="D144" s="981">
        <v>102</v>
      </c>
      <c r="E144" s="981">
        <v>40</v>
      </c>
      <c r="F144" s="981">
        <v>1</v>
      </c>
      <c r="G144" s="981">
        <v>1</v>
      </c>
      <c r="H144" s="981">
        <v>3</v>
      </c>
      <c r="I144" s="981">
        <v>2</v>
      </c>
      <c r="J144" s="981"/>
      <c r="K144" s="981">
        <v>29</v>
      </c>
      <c r="L144" s="981">
        <v>7</v>
      </c>
      <c r="M144" s="981">
        <v>3</v>
      </c>
      <c r="N144" s="981">
        <v>2</v>
      </c>
      <c r="O144" s="981">
        <v>4</v>
      </c>
      <c r="P144" s="981">
        <v>1</v>
      </c>
      <c r="Q144" s="981"/>
      <c r="R144" s="981">
        <v>1</v>
      </c>
      <c r="S144" s="981">
        <v>8</v>
      </c>
    </row>
    <row r="145" spans="1:19" x14ac:dyDescent="0.25">
      <c r="A145" s="981" t="s">
        <v>49</v>
      </c>
      <c r="B145" s="981" t="s">
        <v>298</v>
      </c>
      <c r="C145" s="981" t="s">
        <v>258</v>
      </c>
      <c r="D145" s="981">
        <v>244</v>
      </c>
      <c r="E145" s="981">
        <v>100</v>
      </c>
      <c r="F145" s="981">
        <v>27</v>
      </c>
      <c r="G145" s="981">
        <v>1</v>
      </c>
      <c r="H145" s="981">
        <v>9</v>
      </c>
      <c r="I145" s="981">
        <v>2</v>
      </c>
      <c r="J145" s="981">
        <v>2</v>
      </c>
      <c r="K145" s="981">
        <v>31</v>
      </c>
      <c r="L145" s="981">
        <v>3</v>
      </c>
      <c r="M145" s="981">
        <v>7</v>
      </c>
      <c r="N145" s="981">
        <v>3</v>
      </c>
      <c r="O145" s="981">
        <v>19</v>
      </c>
      <c r="P145" s="981">
        <v>13</v>
      </c>
      <c r="Q145" s="981"/>
      <c r="R145" s="981">
        <v>4</v>
      </c>
      <c r="S145" s="981">
        <v>23</v>
      </c>
    </row>
    <row r="146" spans="1:19" x14ac:dyDescent="0.25">
      <c r="A146" s="981" t="s">
        <v>50</v>
      </c>
      <c r="B146" s="981" t="s">
        <v>315</v>
      </c>
      <c r="C146" s="981" t="s">
        <v>206</v>
      </c>
      <c r="D146" s="981">
        <v>301</v>
      </c>
      <c r="E146" s="981">
        <v>39</v>
      </c>
      <c r="F146" s="981">
        <v>26</v>
      </c>
      <c r="G146" s="981"/>
      <c r="H146" s="981">
        <v>55</v>
      </c>
      <c r="I146" s="981">
        <v>7</v>
      </c>
      <c r="J146" s="981"/>
      <c r="K146" s="981">
        <v>20</v>
      </c>
      <c r="L146" s="981">
        <v>35</v>
      </c>
      <c r="M146" s="981">
        <v>42</v>
      </c>
      <c r="N146" s="981">
        <v>9</v>
      </c>
      <c r="O146" s="981">
        <v>2</v>
      </c>
      <c r="P146" s="981">
        <v>16</v>
      </c>
      <c r="Q146" s="981">
        <v>5</v>
      </c>
      <c r="R146" s="981">
        <v>3</v>
      </c>
      <c r="S146" s="981">
        <v>42</v>
      </c>
    </row>
    <row r="147" spans="1:19" x14ac:dyDescent="0.25">
      <c r="A147" s="981" t="s">
        <v>50</v>
      </c>
      <c r="B147" s="981" t="s">
        <v>315</v>
      </c>
      <c r="C147" s="981" t="s">
        <v>205</v>
      </c>
      <c r="D147" s="981">
        <v>554</v>
      </c>
      <c r="E147" s="981">
        <v>87</v>
      </c>
      <c r="F147" s="981">
        <v>36</v>
      </c>
      <c r="G147" s="981">
        <v>2</v>
      </c>
      <c r="H147" s="981">
        <v>30</v>
      </c>
      <c r="I147" s="981">
        <v>12</v>
      </c>
      <c r="J147" s="981"/>
      <c r="K147" s="981">
        <v>38</v>
      </c>
      <c r="L147" s="981">
        <v>23</v>
      </c>
      <c r="M147" s="981">
        <v>113</v>
      </c>
      <c r="N147" s="981">
        <v>18</v>
      </c>
      <c r="O147" s="981">
        <v>5</v>
      </c>
      <c r="P147" s="981">
        <v>51</v>
      </c>
      <c r="Q147" s="981">
        <v>6</v>
      </c>
      <c r="R147" s="981">
        <v>15</v>
      </c>
      <c r="S147" s="981">
        <v>118</v>
      </c>
    </row>
    <row r="148" spans="1:19" x14ac:dyDescent="0.25">
      <c r="A148" s="981" t="s">
        <v>50</v>
      </c>
      <c r="B148" s="981" t="s">
        <v>315</v>
      </c>
      <c r="C148" s="981" t="s">
        <v>278</v>
      </c>
      <c r="D148" s="981">
        <v>496</v>
      </c>
      <c r="E148" s="981">
        <v>55</v>
      </c>
      <c r="F148" s="981">
        <v>58</v>
      </c>
      <c r="G148" s="981">
        <v>2</v>
      </c>
      <c r="H148" s="981">
        <v>22</v>
      </c>
      <c r="I148" s="981">
        <v>6</v>
      </c>
      <c r="J148" s="981"/>
      <c r="K148" s="981">
        <v>29</v>
      </c>
      <c r="L148" s="981">
        <v>48</v>
      </c>
      <c r="M148" s="981">
        <v>61</v>
      </c>
      <c r="N148" s="981">
        <v>22</v>
      </c>
      <c r="O148" s="981">
        <v>2</v>
      </c>
      <c r="P148" s="981">
        <v>89</v>
      </c>
      <c r="Q148" s="981"/>
      <c r="R148" s="981">
        <v>16</v>
      </c>
      <c r="S148" s="981">
        <v>86</v>
      </c>
    </row>
    <row r="149" spans="1:19" x14ac:dyDescent="0.25">
      <c r="A149" s="981" t="s">
        <v>50</v>
      </c>
      <c r="B149" s="981" t="s">
        <v>315</v>
      </c>
      <c r="C149" s="981" t="s">
        <v>259</v>
      </c>
      <c r="D149" s="981">
        <v>351</v>
      </c>
      <c r="E149" s="981">
        <v>59</v>
      </c>
      <c r="F149" s="981">
        <v>24</v>
      </c>
      <c r="G149" s="981"/>
      <c r="H149" s="981">
        <v>24</v>
      </c>
      <c r="I149" s="981">
        <v>10</v>
      </c>
      <c r="J149" s="981"/>
      <c r="K149" s="981">
        <v>27</v>
      </c>
      <c r="L149" s="981">
        <v>26</v>
      </c>
      <c r="M149" s="981">
        <v>40</v>
      </c>
      <c r="N149" s="981">
        <v>18</v>
      </c>
      <c r="O149" s="981">
        <v>5</v>
      </c>
      <c r="P149" s="981">
        <v>27</v>
      </c>
      <c r="Q149" s="981">
        <v>4</v>
      </c>
      <c r="R149" s="981">
        <v>6</v>
      </c>
      <c r="S149" s="981">
        <v>81</v>
      </c>
    </row>
    <row r="150" spans="1:19" x14ac:dyDescent="0.25">
      <c r="A150" s="981" t="s">
        <v>50</v>
      </c>
      <c r="B150" s="981" t="s">
        <v>315</v>
      </c>
      <c r="C150" s="981" t="s">
        <v>258</v>
      </c>
      <c r="D150" s="981">
        <v>307</v>
      </c>
      <c r="E150" s="981">
        <v>58</v>
      </c>
      <c r="F150" s="981">
        <v>17</v>
      </c>
      <c r="G150" s="981"/>
      <c r="H150" s="981">
        <v>24</v>
      </c>
      <c r="I150" s="981">
        <v>9</v>
      </c>
      <c r="J150" s="981"/>
      <c r="K150" s="981">
        <v>29</v>
      </c>
      <c r="L150" s="981">
        <v>24</v>
      </c>
      <c r="M150" s="981">
        <v>35</v>
      </c>
      <c r="N150" s="981">
        <v>28</v>
      </c>
      <c r="O150" s="981">
        <v>3</v>
      </c>
      <c r="P150" s="981">
        <v>21</v>
      </c>
      <c r="Q150" s="981">
        <v>1</v>
      </c>
      <c r="R150" s="981">
        <v>17</v>
      </c>
      <c r="S150" s="981">
        <v>41</v>
      </c>
    </row>
    <row r="151" spans="1:19" x14ac:dyDescent="0.25">
      <c r="A151" s="981" t="s">
        <v>51</v>
      </c>
      <c r="B151" s="981" t="s">
        <v>299</v>
      </c>
      <c r="C151" s="981" t="s">
        <v>206</v>
      </c>
      <c r="D151" s="981">
        <v>16</v>
      </c>
      <c r="E151" s="981">
        <v>10</v>
      </c>
      <c r="F151" s="981"/>
      <c r="G151" s="981"/>
      <c r="H151" s="981">
        <v>1</v>
      </c>
      <c r="I151" s="981">
        <v>1</v>
      </c>
      <c r="J151" s="981"/>
      <c r="K151" s="981">
        <v>4</v>
      </c>
      <c r="L151" s="981"/>
      <c r="M151" s="981"/>
      <c r="N151" s="981"/>
      <c r="O151" s="981"/>
      <c r="P151" s="981"/>
      <c r="Q151" s="981"/>
      <c r="R151" s="981"/>
      <c r="S151" s="981"/>
    </row>
    <row r="152" spans="1:19" x14ac:dyDescent="0.25">
      <c r="A152" s="981" t="s">
        <v>51</v>
      </c>
      <c r="B152" s="981" t="s">
        <v>299</v>
      </c>
      <c r="C152" s="981" t="s">
        <v>205</v>
      </c>
      <c r="D152" s="981">
        <v>32</v>
      </c>
      <c r="E152" s="981">
        <v>14</v>
      </c>
      <c r="F152" s="981"/>
      <c r="G152" s="981"/>
      <c r="H152" s="981">
        <v>6</v>
      </c>
      <c r="I152" s="981">
        <v>1</v>
      </c>
      <c r="J152" s="981">
        <v>1</v>
      </c>
      <c r="K152" s="981">
        <v>9</v>
      </c>
      <c r="L152" s="981"/>
      <c r="M152" s="981"/>
      <c r="N152" s="981"/>
      <c r="O152" s="981">
        <v>1</v>
      </c>
      <c r="P152" s="981"/>
      <c r="Q152" s="981"/>
      <c r="R152" s="981"/>
      <c r="S152" s="981"/>
    </row>
    <row r="153" spans="1:19" x14ac:dyDescent="0.25">
      <c r="A153" s="981" t="s">
        <v>51</v>
      </c>
      <c r="B153" s="981" t="s">
        <v>299</v>
      </c>
      <c r="C153" s="981" t="s">
        <v>278</v>
      </c>
      <c r="D153" s="981">
        <v>29</v>
      </c>
      <c r="E153" s="981">
        <v>9</v>
      </c>
      <c r="F153" s="981"/>
      <c r="G153" s="981"/>
      <c r="H153" s="981">
        <v>2</v>
      </c>
      <c r="I153" s="981">
        <v>1</v>
      </c>
      <c r="J153" s="981">
        <v>6</v>
      </c>
      <c r="K153" s="981">
        <v>10</v>
      </c>
      <c r="L153" s="981"/>
      <c r="M153" s="981"/>
      <c r="N153" s="981"/>
      <c r="O153" s="981">
        <v>1</v>
      </c>
      <c r="P153" s="981"/>
      <c r="Q153" s="981"/>
      <c r="R153" s="981"/>
      <c r="S153" s="981"/>
    </row>
    <row r="154" spans="1:19" x14ac:dyDescent="0.25">
      <c r="A154" s="981" t="s">
        <v>51</v>
      </c>
      <c r="B154" s="981" t="s">
        <v>299</v>
      </c>
      <c r="C154" s="981" t="s">
        <v>259</v>
      </c>
      <c r="D154" s="981">
        <v>13</v>
      </c>
      <c r="E154" s="981">
        <v>9</v>
      </c>
      <c r="F154" s="981">
        <v>1</v>
      </c>
      <c r="G154" s="981"/>
      <c r="H154" s="981"/>
      <c r="I154" s="981"/>
      <c r="J154" s="981"/>
      <c r="K154" s="981">
        <v>3</v>
      </c>
      <c r="L154" s="981"/>
      <c r="M154" s="981"/>
      <c r="N154" s="981"/>
      <c r="O154" s="981"/>
      <c r="P154" s="981"/>
      <c r="Q154" s="981"/>
      <c r="R154" s="981"/>
      <c r="S154" s="981"/>
    </row>
    <row r="155" spans="1:19" x14ac:dyDescent="0.25">
      <c r="A155" s="981" t="s">
        <v>51</v>
      </c>
      <c r="B155" s="981" t="s">
        <v>299</v>
      </c>
      <c r="C155" s="981" t="s">
        <v>258</v>
      </c>
      <c r="D155" s="981">
        <v>9</v>
      </c>
      <c r="E155" s="981">
        <v>3</v>
      </c>
      <c r="F155" s="981"/>
      <c r="G155" s="981"/>
      <c r="H155" s="981"/>
      <c r="I155" s="981"/>
      <c r="J155" s="981"/>
      <c r="K155" s="981">
        <v>5</v>
      </c>
      <c r="L155" s="981"/>
      <c r="M155" s="981"/>
      <c r="N155" s="981"/>
      <c r="O155" s="981"/>
      <c r="P155" s="981">
        <v>1</v>
      </c>
      <c r="Q155" s="981"/>
      <c r="R155" s="981"/>
      <c r="S155" s="981"/>
    </row>
    <row r="156" spans="1:19" x14ac:dyDescent="0.25">
      <c r="A156" s="981" t="s">
        <v>52</v>
      </c>
      <c r="B156" s="981" t="s">
        <v>300</v>
      </c>
      <c r="C156" s="981" t="s">
        <v>206</v>
      </c>
      <c r="D156" s="981">
        <v>247</v>
      </c>
      <c r="E156" s="981">
        <v>85</v>
      </c>
      <c r="F156" s="981">
        <v>3</v>
      </c>
      <c r="G156" s="981"/>
      <c r="H156" s="981">
        <v>32</v>
      </c>
      <c r="I156" s="981">
        <v>49</v>
      </c>
      <c r="J156" s="981">
        <v>1</v>
      </c>
      <c r="K156" s="981">
        <v>18</v>
      </c>
      <c r="L156" s="981">
        <v>4</v>
      </c>
      <c r="M156" s="981">
        <v>11</v>
      </c>
      <c r="N156" s="981">
        <v>4</v>
      </c>
      <c r="O156" s="981">
        <v>30</v>
      </c>
      <c r="P156" s="981">
        <v>1</v>
      </c>
      <c r="Q156" s="981">
        <v>1</v>
      </c>
      <c r="R156" s="981">
        <v>3</v>
      </c>
      <c r="S156" s="981">
        <v>5</v>
      </c>
    </row>
    <row r="157" spans="1:19" x14ac:dyDescent="0.25">
      <c r="A157" s="981" t="s">
        <v>52</v>
      </c>
      <c r="B157" s="981" t="s">
        <v>300</v>
      </c>
      <c r="C157" s="981" t="s">
        <v>205</v>
      </c>
      <c r="D157" s="981">
        <v>270</v>
      </c>
      <c r="E157" s="981">
        <v>88</v>
      </c>
      <c r="F157" s="981">
        <v>6</v>
      </c>
      <c r="G157" s="981"/>
      <c r="H157" s="981">
        <v>38</v>
      </c>
      <c r="I157" s="981">
        <v>65</v>
      </c>
      <c r="J157" s="981"/>
      <c r="K157" s="981">
        <v>11</v>
      </c>
      <c r="L157" s="981">
        <v>13</v>
      </c>
      <c r="M157" s="981">
        <v>3</v>
      </c>
      <c r="N157" s="981">
        <v>13</v>
      </c>
      <c r="O157" s="981">
        <v>27</v>
      </c>
      <c r="P157" s="981">
        <v>3</v>
      </c>
      <c r="Q157" s="981"/>
      <c r="R157" s="981">
        <v>2</v>
      </c>
      <c r="S157" s="981">
        <v>1</v>
      </c>
    </row>
    <row r="158" spans="1:19" x14ac:dyDescent="0.25">
      <c r="A158" s="981" t="s">
        <v>52</v>
      </c>
      <c r="B158" s="981" t="s">
        <v>300</v>
      </c>
      <c r="C158" s="981" t="s">
        <v>278</v>
      </c>
      <c r="D158" s="981">
        <v>287</v>
      </c>
      <c r="E158" s="981">
        <v>81</v>
      </c>
      <c r="F158" s="981">
        <v>2</v>
      </c>
      <c r="G158" s="981"/>
      <c r="H158" s="981">
        <v>30</v>
      </c>
      <c r="I158" s="981">
        <v>57</v>
      </c>
      <c r="J158" s="981">
        <v>4</v>
      </c>
      <c r="K158" s="981">
        <v>34</v>
      </c>
      <c r="L158" s="981">
        <v>15</v>
      </c>
      <c r="M158" s="981">
        <v>5</v>
      </c>
      <c r="N158" s="981">
        <v>8</v>
      </c>
      <c r="O158" s="981">
        <v>39</v>
      </c>
      <c r="P158" s="981">
        <v>3</v>
      </c>
      <c r="Q158" s="981">
        <v>2</v>
      </c>
      <c r="R158" s="981">
        <v>4</v>
      </c>
      <c r="S158" s="981">
        <v>3</v>
      </c>
    </row>
    <row r="159" spans="1:19" x14ac:dyDescent="0.25">
      <c r="A159" s="981" t="s">
        <v>52</v>
      </c>
      <c r="B159" s="981" t="s">
        <v>300</v>
      </c>
      <c r="C159" s="981" t="s">
        <v>259</v>
      </c>
      <c r="D159" s="981">
        <v>293</v>
      </c>
      <c r="E159" s="981">
        <v>80</v>
      </c>
      <c r="F159" s="981">
        <v>3</v>
      </c>
      <c r="G159" s="981"/>
      <c r="H159" s="981">
        <v>6</v>
      </c>
      <c r="I159" s="981">
        <v>58</v>
      </c>
      <c r="J159" s="981">
        <v>9</v>
      </c>
      <c r="K159" s="981">
        <v>70</v>
      </c>
      <c r="L159" s="981">
        <v>4</v>
      </c>
      <c r="M159" s="981">
        <v>4</v>
      </c>
      <c r="N159" s="981">
        <v>14</v>
      </c>
      <c r="O159" s="981">
        <v>36</v>
      </c>
      <c r="P159" s="981">
        <v>1</v>
      </c>
      <c r="Q159" s="981">
        <v>1</v>
      </c>
      <c r="R159" s="981">
        <v>2</v>
      </c>
      <c r="S159" s="981">
        <v>5</v>
      </c>
    </row>
    <row r="160" spans="1:19" x14ac:dyDescent="0.25">
      <c r="A160" s="981" t="s">
        <v>52</v>
      </c>
      <c r="B160" s="981" t="s">
        <v>300</v>
      </c>
      <c r="C160" s="981" t="s">
        <v>258</v>
      </c>
      <c r="D160" s="981">
        <v>293</v>
      </c>
      <c r="E160" s="981">
        <v>86</v>
      </c>
      <c r="F160" s="981">
        <v>7</v>
      </c>
      <c r="G160" s="981"/>
      <c r="H160" s="981">
        <v>18</v>
      </c>
      <c r="I160" s="981">
        <v>69</v>
      </c>
      <c r="J160" s="981">
        <v>7</v>
      </c>
      <c r="K160" s="981">
        <v>48</v>
      </c>
      <c r="L160" s="981">
        <v>5</v>
      </c>
      <c r="M160" s="981">
        <v>3</v>
      </c>
      <c r="N160" s="981">
        <v>5</v>
      </c>
      <c r="O160" s="981">
        <v>30</v>
      </c>
      <c r="P160" s="981">
        <v>4</v>
      </c>
      <c r="Q160" s="981">
        <v>1</v>
      </c>
      <c r="R160" s="981">
        <v>2</v>
      </c>
      <c r="S160" s="981">
        <v>8</v>
      </c>
    </row>
    <row r="161" spans="1:19" x14ac:dyDescent="0.25">
      <c r="A161" s="981" t="s">
        <v>53</v>
      </c>
      <c r="B161" s="981" t="s">
        <v>310</v>
      </c>
      <c r="C161" s="981" t="s">
        <v>206</v>
      </c>
      <c r="D161" s="981">
        <v>215</v>
      </c>
      <c r="E161" s="981">
        <v>51</v>
      </c>
      <c r="F161" s="981">
        <v>10</v>
      </c>
      <c r="G161" s="981"/>
      <c r="H161" s="981">
        <v>16</v>
      </c>
      <c r="I161" s="981">
        <v>1</v>
      </c>
      <c r="J161" s="981"/>
      <c r="K161" s="981">
        <v>21</v>
      </c>
      <c r="L161" s="981">
        <v>31</v>
      </c>
      <c r="M161" s="981">
        <v>17</v>
      </c>
      <c r="N161" s="981">
        <v>10</v>
      </c>
      <c r="O161" s="981"/>
      <c r="P161" s="981">
        <v>9</v>
      </c>
      <c r="Q161" s="981"/>
      <c r="R161" s="981">
        <v>12</v>
      </c>
      <c r="S161" s="981">
        <v>37</v>
      </c>
    </row>
    <row r="162" spans="1:19" x14ac:dyDescent="0.25">
      <c r="A162" s="981" t="s">
        <v>53</v>
      </c>
      <c r="B162" s="981" t="s">
        <v>310</v>
      </c>
      <c r="C162" s="981" t="s">
        <v>205</v>
      </c>
      <c r="D162" s="981">
        <v>238</v>
      </c>
      <c r="E162" s="981">
        <v>45</v>
      </c>
      <c r="F162" s="981">
        <v>23</v>
      </c>
      <c r="G162" s="981">
        <v>1</v>
      </c>
      <c r="H162" s="981">
        <v>70</v>
      </c>
      <c r="I162" s="981">
        <v>1</v>
      </c>
      <c r="J162" s="981"/>
      <c r="K162" s="981">
        <v>27</v>
      </c>
      <c r="L162" s="981">
        <v>10</v>
      </c>
      <c r="M162" s="981">
        <v>7</v>
      </c>
      <c r="N162" s="981">
        <v>7</v>
      </c>
      <c r="O162" s="981"/>
      <c r="P162" s="981">
        <v>11</v>
      </c>
      <c r="Q162" s="981"/>
      <c r="R162" s="981">
        <v>4</v>
      </c>
      <c r="S162" s="981">
        <v>32</v>
      </c>
    </row>
    <row r="163" spans="1:19" x14ac:dyDescent="0.25">
      <c r="A163" s="981" t="s">
        <v>53</v>
      </c>
      <c r="B163" s="981" t="s">
        <v>310</v>
      </c>
      <c r="C163" s="981" t="s">
        <v>278</v>
      </c>
      <c r="D163" s="981">
        <v>169</v>
      </c>
      <c r="E163" s="981">
        <v>56</v>
      </c>
      <c r="F163" s="981">
        <v>13</v>
      </c>
      <c r="G163" s="981"/>
      <c r="H163" s="981">
        <v>8</v>
      </c>
      <c r="I163" s="981">
        <v>1</v>
      </c>
      <c r="J163" s="981"/>
      <c r="K163" s="981">
        <v>22</v>
      </c>
      <c r="L163" s="981">
        <v>16</v>
      </c>
      <c r="M163" s="981">
        <v>9</v>
      </c>
      <c r="N163" s="981">
        <v>6</v>
      </c>
      <c r="O163" s="981"/>
      <c r="P163" s="981">
        <v>9</v>
      </c>
      <c r="Q163" s="981">
        <v>2</v>
      </c>
      <c r="R163" s="981">
        <v>2</v>
      </c>
      <c r="S163" s="981">
        <v>25</v>
      </c>
    </row>
    <row r="164" spans="1:19" x14ac:dyDescent="0.25">
      <c r="A164" s="981" t="s">
        <v>53</v>
      </c>
      <c r="B164" s="981" t="s">
        <v>310</v>
      </c>
      <c r="C164" s="981" t="s">
        <v>259</v>
      </c>
      <c r="D164" s="981">
        <v>91</v>
      </c>
      <c r="E164" s="981">
        <v>56</v>
      </c>
      <c r="F164" s="981">
        <v>1</v>
      </c>
      <c r="G164" s="981">
        <v>2</v>
      </c>
      <c r="H164" s="981">
        <v>6</v>
      </c>
      <c r="I164" s="981">
        <v>3</v>
      </c>
      <c r="J164" s="981"/>
      <c r="K164" s="981">
        <v>16</v>
      </c>
      <c r="L164" s="981">
        <v>4</v>
      </c>
      <c r="M164" s="981">
        <v>1</v>
      </c>
      <c r="N164" s="981"/>
      <c r="O164" s="981"/>
      <c r="P164" s="981"/>
      <c r="Q164" s="981"/>
      <c r="R164" s="981">
        <v>1</v>
      </c>
      <c r="S164" s="981">
        <v>1</v>
      </c>
    </row>
    <row r="165" spans="1:19" x14ac:dyDescent="0.25">
      <c r="A165" s="981" t="s">
        <v>53</v>
      </c>
      <c r="B165" s="981" t="s">
        <v>310</v>
      </c>
      <c r="C165" s="981" t="s">
        <v>258</v>
      </c>
      <c r="D165" s="981">
        <v>169</v>
      </c>
      <c r="E165" s="981">
        <v>58</v>
      </c>
      <c r="F165" s="981">
        <v>16</v>
      </c>
      <c r="G165" s="981"/>
      <c r="H165" s="981">
        <v>17</v>
      </c>
      <c r="I165" s="981">
        <v>1</v>
      </c>
      <c r="J165" s="981"/>
      <c r="K165" s="981">
        <v>20</v>
      </c>
      <c r="L165" s="981">
        <v>10</v>
      </c>
      <c r="M165" s="981">
        <v>6</v>
      </c>
      <c r="N165" s="981">
        <v>5</v>
      </c>
      <c r="O165" s="981">
        <v>14</v>
      </c>
      <c r="P165" s="981">
        <v>10</v>
      </c>
      <c r="Q165" s="981">
        <v>3</v>
      </c>
      <c r="R165" s="981">
        <v>4</v>
      </c>
      <c r="S165" s="981">
        <v>5</v>
      </c>
    </row>
    <row r="166" spans="1:19" x14ac:dyDescent="0.25">
      <c r="A166" s="981" t="s">
        <v>54</v>
      </c>
      <c r="B166" s="981" t="s">
        <v>301</v>
      </c>
      <c r="C166" s="981" t="s">
        <v>206</v>
      </c>
      <c r="D166" s="981">
        <v>381</v>
      </c>
      <c r="E166" s="981">
        <v>34</v>
      </c>
      <c r="F166" s="981">
        <v>7</v>
      </c>
      <c r="G166" s="981"/>
      <c r="H166" s="981">
        <v>22</v>
      </c>
      <c r="I166" s="981">
        <v>17</v>
      </c>
      <c r="J166" s="981">
        <v>2</v>
      </c>
      <c r="K166" s="981">
        <v>85</v>
      </c>
      <c r="L166" s="981">
        <v>21</v>
      </c>
      <c r="M166" s="981">
        <v>7</v>
      </c>
      <c r="N166" s="981">
        <v>11</v>
      </c>
      <c r="O166" s="981">
        <v>41</v>
      </c>
      <c r="P166" s="981">
        <v>7</v>
      </c>
      <c r="Q166" s="981">
        <v>2</v>
      </c>
      <c r="R166" s="981">
        <v>8</v>
      </c>
      <c r="S166" s="981">
        <v>117</v>
      </c>
    </row>
    <row r="167" spans="1:19" x14ac:dyDescent="0.25">
      <c r="A167" s="981" t="s">
        <v>54</v>
      </c>
      <c r="B167" s="981" t="s">
        <v>301</v>
      </c>
      <c r="C167" s="981" t="s">
        <v>205</v>
      </c>
      <c r="D167" s="981">
        <v>290</v>
      </c>
      <c r="E167" s="981">
        <v>39</v>
      </c>
      <c r="F167" s="981">
        <v>10</v>
      </c>
      <c r="G167" s="981"/>
      <c r="H167" s="981">
        <v>37</v>
      </c>
      <c r="I167" s="981">
        <v>16</v>
      </c>
      <c r="J167" s="981">
        <v>1</v>
      </c>
      <c r="K167" s="981">
        <v>55</v>
      </c>
      <c r="L167" s="981">
        <v>20</v>
      </c>
      <c r="M167" s="981">
        <v>13</v>
      </c>
      <c r="N167" s="981">
        <v>12</v>
      </c>
      <c r="O167" s="981">
        <v>35</v>
      </c>
      <c r="P167" s="981">
        <v>10</v>
      </c>
      <c r="Q167" s="981">
        <v>6</v>
      </c>
      <c r="R167" s="981">
        <v>16</v>
      </c>
      <c r="S167" s="981">
        <v>20</v>
      </c>
    </row>
    <row r="168" spans="1:19" x14ac:dyDescent="0.25">
      <c r="A168" s="981" t="s">
        <v>54</v>
      </c>
      <c r="B168" s="981" t="s">
        <v>301</v>
      </c>
      <c r="C168" s="981" t="s">
        <v>278</v>
      </c>
      <c r="D168" s="981">
        <v>285</v>
      </c>
      <c r="E168" s="981">
        <v>32</v>
      </c>
      <c r="F168" s="981">
        <v>9</v>
      </c>
      <c r="G168" s="981">
        <v>1</v>
      </c>
      <c r="H168" s="981">
        <v>39</v>
      </c>
      <c r="I168" s="981">
        <v>18</v>
      </c>
      <c r="J168" s="981"/>
      <c r="K168" s="981">
        <v>53</v>
      </c>
      <c r="L168" s="981">
        <v>29</v>
      </c>
      <c r="M168" s="981">
        <v>11</v>
      </c>
      <c r="N168" s="981">
        <v>8</v>
      </c>
      <c r="O168" s="981">
        <v>26</v>
      </c>
      <c r="P168" s="981">
        <v>3</v>
      </c>
      <c r="Q168" s="981">
        <v>6</v>
      </c>
      <c r="R168" s="981">
        <v>19</v>
      </c>
      <c r="S168" s="981">
        <v>31</v>
      </c>
    </row>
    <row r="169" spans="1:19" x14ac:dyDescent="0.25">
      <c r="A169" s="981" t="s">
        <v>54</v>
      </c>
      <c r="B169" s="981" t="s">
        <v>301</v>
      </c>
      <c r="C169" s="981" t="s">
        <v>259</v>
      </c>
      <c r="D169" s="981">
        <v>231</v>
      </c>
      <c r="E169" s="981">
        <v>36</v>
      </c>
      <c r="F169" s="981">
        <v>9</v>
      </c>
      <c r="G169" s="981">
        <v>3</v>
      </c>
      <c r="H169" s="981">
        <v>17</v>
      </c>
      <c r="I169" s="981">
        <v>17</v>
      </c>
      <c r="J169" s="981"/>
      <c r="K169" s="981">
        <v>60</v>
      </c>
      <c r="L169" s="981">
        <v>20</v>
      </c>
      <c r="M169" s="981">
        <v>9</v>
      </c>
      <c r="N169" s="981">
        <v>5</v>
      </c>
      <c r="O169" s="981">
        <v>13</v>
      </c>
      <c r="P169" s="981">
        <v>4</v>
      </c>
      <c r="Q169" s="981">
        <v>2</v>
      </c>
      <c r="R169" s="981">
        <v>15</v>
      </c>
      <c r="S169" s="981">
        <v>21</v>
      </c>
    </row>
    <row r="170" spans="1:19" x14ac:dyDescent="0.25">
      <c r="A170" s="981" t="s">
        <v>54</v>
      </c>
      <c r="B170" s="981" t="s">
        <v>301</v>
      </c>
      <c r="C170" s="981" t="s">
        <v>258</v>
      </c>
      <c r="D170" s="981">
        <v>219</v>
      </c>
      <c r="E170" s="981">
        <v>36</v>
      </c>
      <c r="F170" s="981">
        <v>9</v>
      </c>
      <c r="G170" s="981"/>
      <c r="H170" s="981">
        <v>31</v>
      </c>
      <c r="I170" s="981">
        <v>15</v>
      </c>
      <c r="J170" s="981">
        <v>1</v>
      </c>
      <c r="K170" s="981">
        <v>44</v>
      </c>
      <c r="L170" s="981">
        <v>11</v>
      </c>
      <c r="M170" s="981">
        <v>3</v>
      </c>
      <c r="N170" s="981">
        <v>16</v>
      </c>
      <c r="O170" s="981">
        <v>23</v>
      </c>
      <c r="P170" s="981">
        <v>4</v>
      </c>
      <c r="Q170" s="981"/>
      <c r="R170" s="981">
        <v>15</v>
      </c>
      <c r="S170" s="981">
        <v>11</v>
      </c>
    </row>
    <row r="171" spans="1:19" x14ac:dyDescent="0.25">
      <c r="A171" s="981" t="s">
        <v>55</v>
      </c>
      <c r="B171" s="981" t="s">
        <v>302</v>
      </c>
      <c r="C171" s="981" t="s">
        <v>206</v>
      </c>
      <c r="D171" s="981">
        <v>32</v>
      </c>
      <c r="E171" s="981">
        <v>14</v>
      </c>
      <c r="F171" s="981"/>
      <c r="G171" s="981"/>
      <c r="H171" s="981">
        <v>6</v>
      </c>
      <c r="I171" s="981">
        <v>1</v>
      </c>
      <c r="J171" s="981">
        <v>2</v>
      </c>
      <c r="K171" s="981">
        <v>8</v>
      </c>
      <c r="L171" s="981"/>
      <c r="M171" s="981">
        <v>1</v>
      </c>
      <c r="N171" s="981"/>
      <c r="O171" s="981"/>
      <c r="P171" s="981"/>
      <c r="Q171" s="981"/>
      <c r="R171" s="981"/>
      <c r="S171" s="981"/>
    </row>
    <row r="172" spans="1:19" x14ac:dyDescent="0.25">
      <c r="A172" s="981" t="s">
        <v>55</v>
      </c>
      <c r="B172" s="981" t="s">
        <v>302</v>
      </c>
      <c r="C172" s="981" t="s">
        <v>205</v>
      </c>
      <c r="D172" s="981">
        <v>24</v>
      </c>
      <c r="E172" s="981">
        <v>10</v>
      </c>
      <c r="F172" s="981"/>
      <c r="G172" s="981"/>
      <c r="H172" s="981">
        <v>6</v>
      </c>
      <c r="I172" s="981"/>
      <c r="J172" s="981">
        <v>1</v>
      </c>
      <c r="K172" s="981">
        <v>4</v>
      </c>
      <c r="L172" s="981">
        <v>1</v>
      </c>
      <c r="M172" s="981"/>
      <c r="N172" s="981">
        <v>1</v>
      </c>
      <c r="O172" s="981">
        <v>1</v>
      </c>
      <c r="P172" s="981"/>
      <c r="Q172" s="981"/>
      <c r="R172" s="981"/>
      <c r="S172" s="981"/>
    </row>
    <row r="173" spans="1:19" x14ac:dyDescent="0.25">
      <c r="A173" s="981" t="s">
        <v>55</v>
      </c>
      <c r="B173" s="981" t="s">
        <v>302</v>
      </c>
      <c r="C173" s="981" t="s">
        <v>278</v>
      </c>
      <c r="D173" s="981">
        <v>16</v>
      </c>
      <c r="E173" s="981">
        <v>11</v>
      </c>
      <c r="F173" s="981"/>
      <c r="G173" s="981"/>
      <c r="H173" s="981"/>
      <c r="I173" s="981">
        <v>1</v>
      </c>
      <c r="J173" s="981">
        <v>1</v>
      </c>
      <c r="K173" s="981">
        <v>3</v>
      </c>
      <c r="L173" s="981"/>
      <c r="M173" s="981"/>
      <c r="N173" s="981"/>
      <c r="O173" s="981"/>
      <c r="P173" s="981"/>
      <c r="Q173" s="981"/>
      <c r="R173" s="981"/>
      <c r="S173" s="981"/>
    </row>
    <row r="174" spans="1:19" x14ac:dyDescent="0.25">
      <c r="A174" s="981" t="s">
        <v>55</v>
      </c>
      <c r="B174" s="981" t="s">
        <v>302</v>
      </c>
      <c r="C174" s="981" t="s">
        <v>259</v>
      </c>
      <c r="D174" s="981">
        <v>23</v>
      </c>
      <c r="E174" s="981">
        <v>16</v>
      </c>
      <c r="F174" s="981"/>
      <c r="G174" s="981"/>
      <c r="H174" s="981">
        <v>3</v>
      </c>
      <c r="I174" s="981">
        <v>1</v>
      </c>
      <c r="J174" s="981"/>
      <c r="K174" s="981"/>
      <c r="L174" s="981">
        <v>1</v>
      </c>
      <c r="M174" s="981"/>
      <c r="N174" s="981"/>
      <c r="O174" s="981"/>
      <c r="P174" s="981"/>
      <c r="Q174" s="981"/>
      <c r="R174" s="981">
        <v>1</v>
      </c>
      <c r="S174" s="981">
        <v>1</v>
      </c>
    </row>
    <row r="175" spans="1:19" x14ac:dyDescent="0.25">
      <c r="A175" s="981" t="s">
        <v>55</v>
      </c>
      <c r="B175" s="981" t="s">
        <v>302</v>
      </c>
      <c r="C175" s="981" t="s">
        <v>258</v>
      </c>
      <c r="D175" s="981">
        <v>16</v>
      </c>
      <c r="E175" s="981">
        <v>8</v>
      </c>
      <c r="F175" s="981"/>
      <c r="G175" s="981"/>
      <c r="H175" s="981">
        <v>3</v>
      </c>
      <c r="I175" s="981"/>
      <c r="J175" s="981"/>
      <c r="K175" s="981">
        <v>2</v>
      </c>
      <c r="L175" s="981">
        <v>1</v>
      </c>
      <c r="M175" s="981"/>
      <c r="N175" s="981"/>
      <c r="O175" s="981"/>
      <c r="P175" s="981">
        <v>1</v>
      </c>
      <c r="Q175" s="981">
        <v>1</v>
      </c>
      <c r="R175" s="981"/>
      <c r="S175" s="981"/>
    </row>
    <row r="176" spans="1:19" x14ac:dyDescent="0.25">
      <c r="A176" s="981" t="s">
        <v>56</v>
      </c>
      <c r="B176" s="981" t="s">
        <v>303</v>
      </c>
      <c r="C176" s="981" t="s">
        <v>206</v>
      </c>
      <c r="D176" s="981">
        <v>247</v>
      </c>
      <c r="E176" s="981">
        <v>46</v>
      </c>
      <c r="F176" s="981">
        <v>20</v>
      </c>
      <c r="G176" s="981">
        <v>1</v>
      </c>
      <c r="H176" s="981">
        <v>23</v>
      </c>
      <c r="I176" s="981">
        <v>3</v>
      </c>
      <c r="J176" s="981">
        <v>5</v>
      </c>
      <c r="K176" s="981">
        <v>39</v>
      </c>
      <c r="L176" s="981">
        <v>16</v>
      </c>
      <c r="M176" s="981">
        <v>15</v>
      </c>
      <c r="N176" s="981">
        <v>8</v>
      </c>
      <c r="O176" s="981">
        <v>14</v>
      </c>
      <c r="P176" s="981">
        <v>10</v>
      </c>
      <c r="Q176" s="981">
        <v>1</v>
      </c>
      <c r="R176" s="981">
        <v>10</v>
      </c>
      <c r="S176" s="981">
        <v>36</v>
      </c>
    </row>
    <row r="177" spans="1:19" x14ac:dyDescent="0.25">
      <c r="A177" s="981" t="s">
        <v>56</v>
      </c>
      <c r="B177" s="981" t="s">
        <v>303</v>
      </c>
      <c r="C177" s="981" t="s">
        <v>205</v>
      </c>
      <c r="D177" s="981">
        <v>288</v>
      </c>
      <c r="E177" s="981">
        <v>58</v>
      </c>
      <c r="F177" s="981">
        <v>45</v>
      </c>
      <c r="G177" s="981"/>
      <c r="H177" s="981">
        <v>29</v>
      </c>
      <c r="I177" s="981">
        <v>19</v>
      </c>
      <c r="J177" s="981">
        <v>3</v>
      </c>
      <c r="K177" s="981">
        <v>48</v>
      </c>
      <c r="L177" s="981">
        <v>15</v>
      </c>
      <c r="M177" s="981">
        <v>9</v>
      </c>
      <c r="N177" s="981">
        <v>9</v>
      </c>
      <c r="O177" s="981">
        <v>15</v>
      </c>
      <c r="P177" s="981">
        <v>8</v>
      </c>
      <c r="Q177" s="981"/>
      <c r="R177" s="981">
        <v>4</v>
      </c>
      <c r="S177" s="981">
        <v>26</v>
      </c>
    </row>
    <row r="178" spans="1:19" x14ac:dyDescent="0.25">
      <c r="A178" s="981" t="s">
        <v>56</v>
      </c>
      <c r="B178" s="981" t="s">
        <v>303</v>
      </c>
      <c r="C178" s="981" t="s">
        <v>278</v>
      </c>
      <c r="D178" s="981">
        <v>310</v>
      </c>
      <c r="E178" s="981">
        <v>51</v>
      </c>
      <c r="F178" s="981">
        <v>9</v>
      </c>
      <c r="G178" s="981"/>
      <c r="H178" s="981">
        <v>32</v>
      </c>
      <c r="I178" s="981">
        <v>19</v>
      </c>
      <c r="J178" s="981">
        <v>6</v>
      </c>
      <c r="K178" s="981">
        <v>59</v>
      </c>
      <c r="L178" s="981">
        <v>15</v>
      </c>
      <c r="M178" s="981">
        <v>9</v>
      </c>
      <c r="N178" s="981">
        <v>12</v>
      </c>
      <c r="O178" s="981">
        <v>34</v>
      </c>
      <c r="P178" s="981">
        <v>34</v>
      </c>
      <c r="Q178" s="981">
        <v>4</v>
      </c>
      <c r="R178" s="981">
        <v>4</v>
      </c>
      <c r="S178" s="981">
        <v>22</v>
      </c>
    </row>
    <row r="179" spans="1:19" x14ac:dyDescent="0.25">
      <c r="A179" s="981" t="s">
        <v>56</v>
      </c>
      <c r="B179" s="981" t="s">
        <v>303</v>
      </c>
      <c r="C179" s="981" t="s">
        <v>259</v>
      </c>
      <c r="D179" s="981">
        <v>319</v>
      </c>
      <c r="E179" s="981">
        <v>45</v>
      </c>
      <c r="F179" s="981">
        <v>3</v>
      </c>
      <c r="G179" s="981">
        <v>1</v>
      </c>
      <c r="H179" s="981">
        <v>32</v>
      </c>
      <c r="I179" s="981">
        <v>11</v>
      </c>
      <c r="J179" s="981">
        <v>2</v>
      </c>
      <c r="K179" s="981">
        <v>67</v>
      </c>
      <c r="L179" s="981">
        <v>30</v>
      </c>
      <c r="M179" s="981">
        <v>19</v>
      </c>
      <c r="N179" s="981">
        <v>14</v>
      </c>
      <c r="O179" s="981">
        <v>38</v>
      </c>
      <c r="P179" s="981">
        <v>9</v>
      </c>
      <c r="Q179" s="981"/>
      <c r="R179" s="981">
        <v>28</v>
      </c>
      <c r="S179" s="981">
        <v>20</v>
      </c>
    </row>
    <row r="180" spans="1:19" x14ac:dyDescent="0.25">
      <c r="A180" s="981" t="s">
        <v>56</v>
      </c>
      <c r="B180" s="981" t="s">
        <v>303</v>
      </c>
      <c r="C180" s="981" t="s">
        <v>258</v>
      </c>
      <c r="D180" s="981">
        <v>229</v>
      </c>
      <c r="E180" s="981">
        <v>56</v>
      </c>
      <c r="F180" s="981">
        <v>17</v>
      </c>
      <c r="G180" s="981"/>
      <c r="H180" s="981">
        <v>28</v>
      </c>
      <c r="I180" s="981">
        <v>8</v>
      </c>
      <c r="J180" s="981">
        <v>3</v>
      </c>
      <c r="K180" s="981">
        <v>38</v>
      </c>
      <c r="L180" s="981">
        <v>11</v>
      </c>
      <c r="M180" s="981">
        <v>11</v>
      </c>
      <c r="N180" s="981">
        <v>6</v>
      </c>
      <c r="O180" s="981">
        <v>7</v>
      </c>
      <c r="P180" s="981">
        <v>10</v>
      </c>
      <c r="Q180" s="981">
        <v>2</v>
      </c>
      <c r="R180" s="981">
        <v>19</v>
      </c>
      <c r="S180" s="981">
        <v>13</v>
      </c>
    </row>
    <row r="181" spans="1:19" x14ac:dyDescent="0.25">
      <c r="A181" s="981" t="s">
        <v>57</v>
      </c>
      <c r="B181" s="981" t="s">
        <v>304</v>
      </c>
      <c r="C181" s="981" t="s">
        <v>206</v>
      </c>
      <c r="D181" s="981">
        <v>286</v>
      </c>
      <c r="E181" s="981">
        <v>110</v>
      </c>
      <c r="F181" s="981">
        <v>5</v>
      </c>
      <c r="G181" s="981"/>
      <c r="H181" s="981">
        <v>69</v>
      </c>
      <c r="I181" s="981">
        <v>10</v>
      </c>
      <c r="J181" s="981"/>
      <c r="K181" s="981">
        <v>36</v>
      </c>
      <c r="L181" s="981">
        <v>12</v>
      </c>
      <c r="M181" s="981">
        <v>7</v>
      </c>
      <c r="N181" s="981">
        <v>9</v>
      </c>
      <c r="O181" s="981">
        <v>3</v>
      </c>
      <c r="P181" s="981">
        <v>2</v>
      </c>
      <c r="Q181" s="981">
        <v>1</v>
      </c>
      <c r="R181" s="981">
        <v>7</v>
      </c>
      <c r="S181" s="981">
        <v>15</v>
      </c>
    </row>
    <row r="182" spans="1:19" x14ac:dyDescent="0.25">
      <c r="A182" s="981" t="s">
        <v>57</v>
      </c>
      <c r="B182" s="981" t="s">
        <v>304</v>
      </c>
      <c r="C182" s="981" t="s">
        <v>205</v>
      </c>
      <c r="D182" s="981">
        <v>250</v>
      </c>
      <c r="E182" s="981">
        <v>102</v>
      </c>
      <c r="F182" s="981">
        <v>4</v>
      </c>
      <c r="G182" s="981"/>
      <c r="H182" s="981">
        <v>59</v>
      </c>
      <c r="I182" s="981">
        <v>15</v>
      </c>
      <c r="J182" s="981"/>
      <c r="K182" s="981">
        <v>25</v>
      </c>
      <c r="L182" s="981">
        <v>6</v>
      </c>
      <c r="M182" s="981">
        <v>16</v>
      </c>
      <c r="N182" s="981">
        <v>8</v>
      </c>
      <c r="O182" s="981">
        <v>3</v>
      </c>
      <c r="P182" s="981">
        <v>3</v>
      </c>
      <c r="Q182" s="981">
        <v>1</v>
      </c>
      <c r="R182" s="981">
        <v>3</v>
      </c>
      <c r="S182" s="981">
        <v>5</v>
      </c>
    </row>
    <row r="183" spans="1:19" x14ac:dyDescent="0.25">
      <c r="A183" s="981" t="s">
        <v>57</v>
      </c>
      <c r="B183" s="981" t="s">
        <v>304</v>
      </c>
      <c r="C183" s="981" t="s">
        <v>278</v>
      </c>
      <c r="D183" s="981">
        <v>251</v>
      </c>
      <c r="E183" s="981">
        <v>102</v>
      </c>
      <c r="F183" s="981">
        <v>12</v>
      </c>
      <c r="G183" s="981">
        <v>1</v>
      </c>
      <c r="H183" s="981">
        <v>36</v>
      </c>
      <c r="I183" s="981">
        <v>12</v>
      </c>
      <c r="J183" s="981">
        <v>1</v>
      </c>
      <c r="K183" s="981">
        <v>26</v>
      </c>
      <c r="L183" s="981">
        <v>4</v>
      </c>
      <c r="M183" s="981">
        <v>6</v>
      </c>
      <c r="N183" s="981">
        <v>9</v>
      </c>
      <c r="O183" s="981">
        <v>2</v>
      </c>
      <c r="P183" s="981">
        <v>9</v>
      </c>
      <c r="Q183" s="981">
        <v>5</v>
      </c>
      <c r="R183" s="981">
        <v>4</v>
      </c>
      <c r="S183" s="981">
        <v>22</v>
      </c>
    </row>
    <row r="184" spans="1:19" x14ac:dyDescent="0.25">
      <c r="A184" s="981" t="s">
        <v>57</v>
      </c>
      <c r="B184" s="981" t="s">
        <v>304</v>
      </c>
      <c r="C184" s="981" t="s">
        <v>259</v>
      </c>
      <c r="D184" s="981">
        <v>333</v>
      </c>
      <c r="E184" s="981">
        <v>115</v>
      </c>
      <c r="F184" s="981">
        <v>16</v>
      </c>
      <c r="G184" s="981">
        <v>2</v>
      </c>
      <c r="H184" s="981">
        <v>74</v>
      </c>
      <c r="I184" s="981">
        <v>24</v>
      </c>
      <c r="J184" s="981">
        <v>3</v>
      </c>
      <c r="K184" s="981">
        <v>37</v>
      </c>
      <c r="L184" s="981">
        <v>14</v>
      </c>
      <c r="M184" s="981">
        <v>7</v>
      </c>
      <c r="N184" s="981">
        <v>8</v>
      </c>
      <c r="O184" s="981">
        <v>4</v>
      </c>
      <c r="P184" s="981">
        <v>5</v>
      </c>
      <c r="Q184" s="981">
        <v>1</v>
      </c>
      <c r="R184" s="981">
        <v>9</v>
      </c>
      <c r="S184" s="981">
        <v>14</v>
      </c>
    </row>
    <row r="185" spans="1:19" x14ac:dyDescent="0.25">
      <c r="A185" s="981" t="s">
        <v>57</v>
      </c>
      <c r="B185" s="981" t="s">
        <v>304</v>
      </c>
      <c r="C185" s="981" t="s">
        <v>258</v>
      </c>
      <c r="D185" s="981">
        <v>252</v>
      </c>
      <c r="E185" s="981">
        <v>98</v>
      </c>
      <c r="F185" s="981">
        <v>6</v>
      </c>
      <c r="G185" s="981"/>
      <c r="H185" s="981">
        <v>52</v>
      </c>
      <c r="I185" s="981">
        <v>26</v>
      </c>
      <c r="J185" s="981"/>
      <c r="K185" s="981">
        <v>31</v>
      </c>
      <c r="L185" s="981">
        <v>5</v>
      </c>
      <c r="M185" s="981">
        <v>9</v>
      </c>
      <c r="N185" s="981">
        <v>10</v>
      </c>
      <c r="O185" s="981">
        <v>2</v>
      </c>
      <c r="P185" s="981">
        <v>4</v>
      </c>
      <c r="Q185" s="981"/>
      <c r="R185" s="981">
        <v>1</v>
      </c>
      <c r="S185" s="981">
        <v>8</v>
      </c>
    </row>
    <row r="186" spans="1:19" x14ac:dyDescent="0.25">
      <c r="A186" s="981" t="s">
        <v>58</v>
      </c>
      <c r="B186" s="981" t="s">
        <v>305</v>
      </c>
      <c r="C186" s="981" t="s">
        <v>206</v>
      </c>
      <c r="D186" s="981">
        <v>217</v>
      </c>
      <c r="E186" s="981">
        <v>39</v>
      </c>
      <c r="F186" s="981">
        <v>1</v>
      </c>
      <c r="G186" s="981"/>
      <c r="H186" s="981">
        <v>105</v>
      </c>
      <c r="I186" s="981">
        <v>1</v>
      </c>
      <c r="J186" s="981">
        <v>3</v>
      </c>
      <c r="K186" s="981">
        <v>43</v>
      </c>
      <c r="L186" s="981">
        <v>2</v>
      </c>
      <c r="M186" s="981">
        <v>2</v>
      </c>
      <c r="N186" s="981"/>
      <c r="O186" s="981">
        <v>19</v>
      </c>
      <c r="P186" s="981"/>
      <c r="Q186" s="981">
        <v>1</v>
      </c>
      <c r="R186" s="981">
        <v>1</v>
      </c>
      <c r="S186" s="981"/>
    </row>
    <row r="187" spans="1:19" x14ac:dyDescent="0.25">
      <c r="A187" s="981" t="s">
        <v>58</v>
      </c>
      <c r="B187" s="981" t="s">
        <v>305</v>
      </c>
      <c r="C187" s="981" t="s">
        <v>205</v>
      </c>
      <c r="D187" s="981">
        <v>340</v>
      </c>
      <c r="E187" s="981">
        <v>40</v>
      </c>
      <c r="F187" s="981">
        <v>1</v>
      </c>
      <c r="G187" s="981"/>
      <c r="H187" s="981">
        <v>249</v>
      </c>
      <c r="I187" s="981">
        <v>13</v>
      </c>
      <c r="J187" s="981">
        <v>3</v>
      </c>
      <c r="K187" s="981">
        <v>16</v>
      </c>
      <c r="L187" s="981">
        <v>3</v>
      </c>
      <c r="M187" s="981">
        <v>1</v>
      </c>
      <c r="N187" s="981">
        <v>4</v>
      </c>
      <c r="O187" s="981">
        <v>3</v>
      </c>
      <c r="P187" s="981">
        <v>3</v>
      </c>
      <c r="Q187" s="981"/>
      <c r="R187" s="981">
        <v>3</v>
      </c>
      <c r="S187" s="981">
        <v>1</v>
      </c>
    </row>
    <row r="188" spans="1:19" x14ac:dyDescent="0.25">
      <c r="A188" s="981" t="s">
        <v>58</v>
      </c>
      <c r="B188" s="981" t="s">
        <v>305</v>
      </c>
      <c r="C188" s="981" t="s">
        <v>278</v>
      </c>
      <c r="D188" s="981">
        <v>160</v>
      </c>
      <c r="E188" s="981">
        <v>46</v>
      </c>
      <c r="F188" s="981">
        <v>3</v>
      </c>
      <c r="G188" s="981"/>
      <c r="H188" s="981">
        <v>33</v>
      </c>
      <c r="I188" s="981">
        <v>16</v>
      </c>
      <c r="J188" s="981">
        <v>4</v>
      </c>
      <c r="K188" s="981">
        <v>22</v>
      </c>
      <c r="L188" s="981">
        <v>5</v>
      </c>
      <c r="M188" s="981">
        <v>4</v>
      </c>
      <c r="N188" s="981">
        <v>3</v>
      </c>
      <c r="O188" s="981">
        <v>10</v>
      </c>
      <c r="P188" s="981">
        <v>5</v>
      </c>
      <c r="Q188" s="981"/>
      <c r="R188" s="981">
        <v>3</v>
      </c>
      <c r="S188" s="981">
        <v>6</v>
      </c>
    </row>
    <row r="189" spans="1:19" x14ac:dyDescent="0.25">
      <c r="A189" s="981" t="s">
        <v>58</v>
      </c>
      <c r="B189" s="981" t="s">
        <v>305</v>
      </c>
      <c r="C189" s="981" t="s">
        <v>259</v>
      </c>
      <c r="D189" s="981">
        <v>224</v>
      </c>
      <c r="E189" s="981">
        <v>45</v>
      </c>
      <c r="F189" s="981">
        <v>2</v>
      </c>
      <c r="G189" s="981">
        <v>2</v>
      </c>
      <c r="H189" s="981">
        <v>56</v>
      </c>
      <c r="I189" s="981">
        <v>2</v>
      </c>
      <c r="J189" s="981">
        <v>5</v>
      </c>
      <c r="K189" s="981">
        <v>41</v>
      </c>
      <c r="L189" s="981">
        <v>11</v>
      </c>
      <c r="M189" s="981">
        <v>2</v>
      </c>
      <c r="N189" s="981">
        <v>7</v>
      </c>
      <c r="O189" s="981">
        <v>31</v>
      </c>
      <c r="P189" s="981">
        <v>1</v>
      </c>
      <c r="Q189" s="981">
        <v>2</v>
      </c>
      <c r="R189" s="981">
        <v>15</v>
      </c>
      <c r="S189" s="981">
        <v>2</v>
      </c>
    </row>
    <row r="190" spans="1:19" x14ac:dyDescent="0.25">
      <c r="A190" s="981" t="s">
        <v>58</v>
      </c>
      <c r="B190" s="981" t="s">
        <v>305</v>
      </c>
      <c r="C190" s="981" t="s">
        <v>258</v>
      </c>
      <c r="D190" s="981">
        <v>193</v>
      </c>
      <c r="E190" s="981">
        <v>56</v>
      </c>
      <c r="F190" s="981">
        <v>3</v>
      </c>
      <c r="G190" s="981"/>
      <c r="H190" s="981">
        <v>37</v>
      </c>
      <c r="I190" s="981">
        <v>7</v>
      </c>
      <c r="J190" s="981">
        <v>2</v>
      </c>
      <c r="K190" s="981">
        <v>33</v>
      </c>
      <c r="L190" s="981">
        <v>1</v>
      </c>
      <c r="M190" s="981">
        <v>2</v>
      </c>
      <c r="N190" s="981">
        <v>4</v>
      </c>
      <c r="O190" s="981">
        <v>4</v>
      </c>
      <c r="P190" s="981">
        <v>3</v>
      </c>
      <c r="Q190" s="981">
        <v>1</v>
      </c>
      <c r="R190" s="981">
        <v>36</v>
      </c>
      <c r="S190" s="981">
        <v>4</v>
      </c>
    </row>
    <row r="191" spans="1:19" x14ac:dyDescent="0.25">
      <c r="A191" s="981" t="s">
        <v>59</v>
      </c>
      <c r="B191" s="981" t="s">
        <v>311</v>
      </c>
      <c r="C191" s="981" t="s">
        <v>206</v>
      </c>
      <c r="D191" s="981">
        <v>176</v>
      </c>
      <c r="E191" s="981">
        <v>15</v>
      </c>
      <c r="F191" s="981">
        <v>104</v>
      </c>
      <c r="G191" s="981"/>
      <c r="H191" s="981">
        <v>9</v>
      </c>
      <c r="I191" s="981">
        <v>2</v>
      </c>
      <c r="J191" s="981"/>
      <c r="K191" s="981">
        <v>17</v>
      </c>
      <c r="L191" s="981">
        <v>2</v>
      </c>
      <c r="M191" s="981">
        <v>7</v>
      </c>
      <c r="N191" s="981">
        <v>5</v>
      </c>
      <c r="O191" s="981">
        <v>1</v>
      </c>
      <c r="P191" s="981">
        <v>4</v>
      </c>
      <c r="Q191" s="981">
        <v>1</v>
      </c>
      <c r="R191" s="981">
        <v>3</v>
      </c>
      <c r="S191" s="981">
        <v>6</v>
      </c>
    </row>
    <row r="192" spans="1:19" x14ac:dyDescent="0.25">
      <c r="A192" s="981" t="s">
        <v>59</v>
      </c>
      <c r="B192" s="981" t="s">
        <v>311</v>
      </c>
      <c r="C192" s="981" t="s">
        <v>205</v>
      </c>
      <c r="D192" s="981">
        <v>220</v>
      </c>
      <c r="E192" s="981">
        <v>26</v>
      </c>
      <c r="F192" s="981">
        <v>117</v>
      </c>
      <c r="G192" s="981">
        <v>1</v>
      </c>
      <c r="H192" s="981">
        <v>19</v>
      </c>
      <c r="I192" s="981">
        <v>7</v>
      </c>
      <c r="J192" s="981"/>
      <c r="K192" s="981">
        <v>17</v>
      </c>
      <c r="L192" s="981">
        <v>3</v>
      </c>
      <c r="M192" s="981">
        <v>9</v>
      </c>
      <c r="N192" s="981">
        <v>7</v>
      </c>
      <c r="O192" s="981">
        <v>2</v>
      </c>
      <c r="P192" s="981"/>
      <c r="Q192" s="981"/>
      <c r="R192" s="981">
        <v>5</v>
      </c>
      <c r="S192" s="981">
        <v>7</v>
      </c>
    </row>
    <row r="193" spans="1:19" x14ac:dyDescent="0.25">
      <c r="A193" s="981" t="s">
        <v>59</v>
      </c>
      <c r="B193" s="981" t="s">
        <v>311</v>
      </c>
      <c r="C193" s="981" t="s">
        <v>278</v>
      </c>
      <c r="D193" s="981">
        <v>121</v>
      </c>
      <c r="E193" s="981">
        <v>24</v>
      </c>
      <c r="F193" s="981">
        <v>31</v>
      </c>
      <c r="G193" s="981"/>
      <c r="H193" s="981">
        <v>13</v>
      </c>
      <c r="I193" s="981">
        <v>4</v>
      </c>
      <c r="J193" s="981"/>
      <c r="K193" s="981">
        <v>17</v>
      </c>
      <c r="L193" s="981">
        <v>3</v>
      </c>
      <c r="M193" s="981">
        <v>5</v>
      </c>
      <c r="N193" s="981">
        <v>3</v>
      </c>
      <c r="O193" s="981">
        <v>6</v>
      </c>
      <c r="P193" s="981">
        <v>2</v>
      </c>
      <c r="Q193" s="981">
        <v>2</v>
      </c>
      <c r="R193" s="981">
        <v>3</v>
      </c>
      <c r="S193" s="981">
        <v>8</v>
      </c>
    </row>
    <row r="194" spans="1:19" x14ac:dyDescent="0.25">
      <c r="A194" s="981" t="s">
        <v>59</v>
      </c>
      <c r="B194" s="981" t="s">
        <v>311</v>
      </c>
      <c r="C194" s="981" t="s">
        <v>259</v>
      </c>
      <c r="D194" s="981">
        <v>109</v>
      </c>
      <c r="E194" s="981">
        <v>18</v>
      </c>
      <c r="F194" s="981">
        <v>10</v>
      </c>
      <c r="G194" s="981"/>
      <c r="H194" s="981">
        <v>21</v>
      </c>
      <c r="I194" s="981">
        <v>4</v>
      </c>
      <c r="J194" s="981"/>
      <c r="K194" s="981">
        <v>16</v>
      </c>
      <c r="L194" s="981">
        <v>6</v>
      </c>
      <c r="M194" s="981">
        <v>11</v>
      </c>
      <c r="N194" s="981">
        <v>2</v>
      </c>
      <c r="O194" s="981">
        <v>2</v>
      </c>
      <c r="P194" s="981">
        <v>1</v>
      </c>
      <c r="Q194" s="981">
        <v>1</v>
      </c>
      <c r="R194" s="981">
        <v>7</v>
      </c>
      <c r="S194" s="981">
        <v>10</v>
      </c>
    </row>
    <row r="195" spans="1:19" x14ac:dyDescent="0.25">
      <c r="A195" s="981" t="s">
        <v>59</v>
      </c>
      <c r="B195" s="981" t="s">
        <v>311</v>
      </c>
      <c r="C195" s="981" t="s">
        <v>258</v>
      </c>
      <c r="D195" s="981">
        <v>79</v>
      </c>
      <c r="E195" s="981">
        <v>16</v>
      </c>
      <c r="F195" s="981">
        <v>6</v>
      </c>
      <c r="G195" s="981"/>
      <c r="H195" s="981">
        <v>17</v>
      </c>
      <c r="I195" s="981">
        <v>5</v>
      </c>
      <c r="J195" s="981"/>
      <c r="K195" s="981">
        <v>13</v>
      </c>
      <c r="L195" s="981">
        <v>2</v>
      </c>
      <c r="M195" s="981">
        <v>4</v>
      </c>
      <c r="N195" s="981">
        <v>3</v>
      </c>
      <c r="O195" s="981">
        <v>1</v>
      </c>
      <c r="P195" s="981">
        <v>5</v>
      </c>
      <c r="Q195" s="981"/>
      <c r="R195" s="981">
        <v>1</v>
      </c>
      <c r="S195" s="981">
        <v>6</v>
      </c>
    </row>
    <row r="196" spans="1:19" x14ac:dyDescent="0.25">
      <c r="A196" s="981" t="s">
        <v>60</v>
      </c>
      <c r="B196" s="981" t="s">
        <v>312</v>
      </c>
      <c r="C196" s="981" t="s">
        <v>206</v>
      </c>
      <c r="D196" s="981">
        <v>238</v>
      </c>
      <c r="E196" s="981">
        <v>45</v>
      </c>
      <c r="F196" s="981">
        <v>29</v>
      </c>
      <c r="G196" s="981"/>
      <c r="H196" s="981">
        <v>13</v>
      </c>
      <c r="I196" s="981">
        <v>9</v>
      </c>
      <c r="J196" s="981">
        <v>4</v>
      </c>
      <c r="K196" s="981">
        <v>5</v>
      </c>
      <c r="L196" s="981">
        <v>34</v>
      </c>
      <c r="M196" s="981">
        <v>13</v>
      </c>
      <c r="N196" s="981">
        <v>15</v>
      </c>
      <c r="O196" s="981">
        <v>1</v>
      </c>
      <c r="P196" s="981">
        <v>3</v>
      </c>
      <c r="Q196" s="981">
        <v>16</v>
      </c>
      <c r="R196" s="981">
        <v>21</v>
      </c>
      <c r="S196" s="981">
        <v>30</v>
      </c>
    </row>
    <row r="197" spans="1:19" x14ac:dyDescent="0.25">
      <c r="A197" s="981" t="s">
        <v>60</v>
      </c>
      <c r="B197" s="981" t="s">
        <v>312</v>
      </c>
      <c r="C197" s="981" t="s">
        <v>205</v>
      </c>
      <c r="D197" s="981">
        <v>176</v>
      </c>
      <c r="E197" s="981">
        <v>47</v>
      </c>
      <c r="F197" s="981">
        <v>25</v>
      </c>
      <c r="G197" s="981"/>
      <c r="H197" s="981">
        <v>4</v>
      </c>
      <c r="I197" s="981">
        <v>7</v>
      </c>
      <c r="J197" s="981">
        <v>1</v>
      </c>
      <c r="K197" s="981">
        <v>33</v>
      </c>
      <c r="L197" s="981">
        <v>8</v>
      </c>
      <c r="M197" s="981">
        <v>15</v>
      </c>
      <c r="N197" s="981">
        <v>7</v>
      </c>
      <c r="O197" s="981">
        <v>13</v>
      </c>
      <c r="P197" s="981">
        <v>2</v>
      </c>
      <c r="Q197" s="981">
        <v>2</v>
      </c>
      <c r="R197" s="981">
        <v>6</v>
      </c>
      <c r="S197" s="981">
        <v>6</v>
      </c>
    </row>
    <row r="198" spans="1:19" x14ac:dyDescent="0.25">
      <c r="A198" s="981" t="s">
        <v>60</v>
      </c>
      <c r="B198" s="981" t="s">
        <v>312</v>
      </c>
      <c r="C198" s="981" t="s">
        <v>278</v>
      </c>
      <c r="D198" s="981">
        <v>177</v>
      </c>
      <c r="E198" s="981">
        <v>47</v>
      </c>
      <c r="F198" s="981">
        <v>18</v>
      </c>
      <c r="G198" s="981">
        <v>2</v>
      </c>
      <c r="H198" s="981">
        <v>2</v>
      </c>
      <c r="I198" s="981">
        <v>10</v>
      </c>
      <c r="J198" s="981">
        <v>1</v>
      </c>
      <c r="K198" s="981">
        <v>16</v>
      </c>
      <c r="L198" s="981">
        <v>22</v>
      </c>
      <c r="M198" s="981">
        <v>11</v>
      </c>
      <c r="N198" s="981">
        <v>11</v>
      </c>
      <c r="O198" s="981">
        <v>1</v>
      </c>
      <c r="P198" s="981">
        <v>5</v>
      </c>
      <c r="Q198" s="981">
        <v>4</v>
      </c>
      <c r="R198" s="981">
        <v>15</v>
      </c>
      <c r="S198" s="981">
        <v>12</v>
      </c>
    </row>
    <row r="199" spans="1:19" x14ac:dyDescent="0.25">
      <c r="A199" s="981" t="s">
        <v>60</v>
      </c>
      <c r="B199" s="981" t="s">
        <v>312</v>
      </c>
      <c r="C199" s="981" t="s">
        <v>259</v>
      </c>
      <c r="D199" s="981">
        <v>164</v>
      </c>
      <c r="E199" s="981">
        <v>56</v>
      </c>
      <c r="F199" s="981">
        <v>14</v>
      </c>
      <c r="G199" s="981"/>
      <c r="H199" s="981">
        <v>3</v>
      </c>
      <c r="I199" s="981">
        <v>5</v>
      </c>
      <c r="J199" s="981">
        <v>1</v>
      </c>
      <c r="K199" s="981">
        <v>8</v>
      </c>
      <c r="L199" s="981">
        <v>14</v>
      </c>
      <c r="M199" s="981">
        <v>5</v>
      </c>
      <c r="N199" s="981">
        <v>15</v>
      </c>
      <c r="O199" s="981"/>
      <c r="P199" s="981">
        <v>3</v>
      </c>
      <c r="Q199" s="981">
        <v>3</v>
      </c>
      <c r="R199" s="981">
        <v>16</v>
      </c>
      <c r="S199" s="981">
        <v>21</v>
      </c>
    </row>
    <row r="200" spans="1:19" x14ac:dyDescent="0.25">
      <c r="A200" s="981" t="s">
        <v>60</v>
      </c>
      <c r="B200" s="981" t="s">
        <v>312</v>
      </c>
      <c r="C200" s="981" t="s">
        <v>258</v>
      </c>
      <c r="D200" s="981">
        <v>213</v>
      </c>
      <c r="E200" s="981">
        <v>60</v>
      </c>
      <c r="F200" s="981">
        <v>21</v>
      </c>
      <c r="G200" s="981"/>
      <c r="H200" s="981">
        <v>9</v>
      </c>
      <c r="I200" s="981">
        <v>11</v>
      </c>
      <c r="J200" s="981"/>
      <c r="K200" s="981">
        <v>15</v>
      </c>
      <c r="L200" s="981">
        <v>8</v>
      </c>
      <c r="M200" s="981">
        <v>11</v>
      </c>
      <c r="N200" s="981">
        <v>17</v>
      </c>
      <c r="O200" s="981">
        <v>1</v>
      </c>
      <c r="P200" s="981">
        <v>5</v>
      </c>
      <c r="Q200" s="981">
        <v>8</v>
      </c>
      <c r="R200" s="981">
        <v>28</v>
      </c>
      <c r="S200" s="981">
        <v>19</v>
      </c>
    </row>
  </sheetData>
  <pageMargins left="0.7" right="0.7" top="0.75" bottom="0.75" header="0.3" footer="0.3"/>
  <pageSetup paperSize="9" scale="75" fitToHeight="50"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pageSetUpPr fitToPage="1"/>
  </sheetPr>
  <dimension ref="A4:I40"/>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9" x14ac:dyDescent="0.25">
      <c r="A4" s="980" t="s">
        <v>334</v>
      </c>
      <c r="B4" s="980" t="s">
        <v>1049</v>
      </c>
      <c r="C4" s="980" t="s">
        <v>1050</v>
      </c>
      <c r="D4" s="980" t="s">
        <v>1051</v>
      </c>
      <c r="E4" s="980" t="s">
        <v>1052</v>
      </c>
      <c r="F4" s="980" t="s">
        <v>1053</v>
      </c>
      <c r="G4" s="980" t="s">
        <v>1054</v>
      </c>
      <c r="H4" s="980" t="s">
        <v>1055</v>
      </c>
      <c r="I4" s="980" t="s">
        <v>1056</v>
      </c>
    </row>
    <row r="5" spans="1:9" x14ac:dyDescent="0.25">
      <c r="A5" s="981" t="s">
        <v>1047</v>
      </c>
      <c r="B5" s="981">
        <v>3797</v>
      </c>
      <c r="C5" s="981">
        <v>14034</v>
      </c>
      <c r="D5" s="981">
        <v>2264</v>
      </c>
      <c r="E5" s="981">
        <v>10793</v>
      </c>
      <c r="F5" s="981">
        <v>58</v>
      </c>
      <c r="G5" s="981">
        <v>300</v>
      </c>
      <c r="H5" s="981">
        <v>20</v>
      </c>
      <c r="I5" s="981">
        <v>127</v>
      </c>
    </row>
    <row r="6" spans="1:9" x14ac:dyDescent="0.25">
      <c r="A6" s="981" t="s">
        <v>984</v>
      </c>
      <c r="B6" s="981">
        <v>4947</v>
      </c>
      <c r="C6" s="981">
        <v>29138</v>
      </c>
      <c r="D6" s="981">
        <v>1797</v>
      </c>
      <c r="E6" s="981">
        <v>11747</v>
      </c>
      <c r="F6" s="981">
        <v>55</v>
      </c>
      <c r="G6" s="981">
        <v>453</v>
      </c>
      <c r="H6" s="981">
        <v>13</v>
      </c>
      <c r="I6" s="981">
        <v>94</v>
      </c>
    </row>
    <row r="7" spans="1:9" x14ac:dyDescent="0.25">
      <c r="A7" s="981" t="s">
        <v>330</v>
      </c>
      <c r="B7" s="981">
        <v>6829</v>
      </c>
      <c r="C7" s="981">
        <v>42023</v>
      </c>
      <c r="D7" s="981">
        <v>726</v>
      </c>
      <c r="E7" s="981">
        <v>7946</v>
      </c>
      <c r="F7" s="981">
        <v>40</v>
      </c>
      <c r="G7" s="981">
        <v>267</v>
      </c>
      <c r="H7" s="981">
        <v>26</v>
      </c>
      <c r="I7" s="981">
        <v>144</v>
      </c>
    </row>
    <row r="8" spans="1:9" x14ac:dyDescent="0.25">
      <c r="A8" s="981" t="s">
        <v>208</v>
      </c>
      <c r="B8" s="981">
        <v>7230</v>
      </c>
      <c r="C8" s="981">
        <v>34986</v>
      </c>
      <c r="D8" s="981">
        <v>764</v>
      </c>
      <c r="E8" s="981">
        <v>5742</v>
      </c>
      <c r="F8" s="981">
        <v>43</v>
      </c>
      <c r="G8" s="981">
        <v>251</v>
      </c>
      <c r="H8" s="981">
        <v>22</v>
      </c>
      <c r="I8" s="981">
        <v>100</v>
      </c>
    </row>
    <row r="9" spans="1:9" x14ac:dyDescent="0.25">
      <c r="A9" s="981" t="s">
        <v>207</v>
      </c>
      <c r="B9" s="981">
        <v>0</v>
      </c>
      <c r="C9" s="981">
        <v>0</v>
      </c>
      <c r="D9" s="981">
        <v>0</v>
      </c>
      <c r="E9" s="981">
        <v>0</v>
      </c>
      <c r="F9" s="981">
        <v>0</v>
      </c>
      <c r="G9" s="981">
        <v>0</v>
      </c>
      <c r="H9" s="981">
        <v>0</v>
      </c>
      <c r="I9" s="981">
        <v>0</v>
      </c>
    </row>
    <row r="10" spans="1:9" x14ac:dyDescent="0.25">
      <c r="A10" s="981" t="s">
        <v>206</v>
      </c>
      <c r="B10" s="981">
        <v>7816</v>
      </c>
      <c r="C10" s="981">
        <v>40485</v>
      </c>
      <c r="D10" s="981">
        <v>390</v>
      </c>
      <c r="E10" s="981">
        <v>3134.5</v>
      </c>
      <c r="F10" s="981">
        <v>10</v>
      </c>
      <c r="G10" s="981">
        <v>206.25</v>
      </c>
      <c r="H10" s="981">
        <v>3</v>
      </c>
      <c r="I10" s="981">
        <v>25.5</v>
      </c>
    </row>
    <row r="11" spans="1:9" x14ac:dyDescent="0.25">
      <c r="A11" s="981" t="s">
        <v>205</v>
      </c>
      <c r="B11" s="981">
        <v>9185</v>
      </c>
      <c r="C11" s="981">
        <v>44965</v>
      </c>
      <c r="D11" s="981">
        <v>649</v>
      </c>
      <c r="E11" s="981">
        <v>6069.5</v>
      </c>
      <c r="F11" s="981">
        <v>23</v>
      </c>
      <c r="G11" s="981">
        <v>612</v>
      </c>
      <c r="H11" s="981">
        <v>4</v>
      </c>
      <c r="I11" s="981">
        <v>23.25</v>
      </c>
    </row>
    <row r="12" spans="1:9" x14ac:dyDescent="0.25">
      <c r="A12" s="981" t="s">
        <v>278</v>
      </c>
      <c r="B12" s="981">
        <v>8385</v>
      </c>
      <c r="C12" s="981">
        <v>41376</v>
      </c>
      <c r="D12" s="981">
        <v>554</v>
      </c>
      <c r="E12" s="981">
        <v>4990.75</v>
      </c>
      <c r="F12" s="981">
        <v>21</v>
      </c>
      <c r="G12" s="981">
        <v>395.25</v>
      </c>
      <c r="H12" s="981">
        <v>12</v>
      </c>
      <c r="I12" s="981">
        <v>72.25</v>
      </c>
    </row>
    <row r="13" spans="1:9" x14ac:dyDescent="0.25">
      <c r="A13" s="981" t="s">
        <v>259</v>
      </c>
      <c r="B13" s="981">
        <v>7167</v>
      </c>
      <c r="C13" s="981">
        <v>34688.5</v>
      </c>
      <c r="D13" s="981">
        <v>468</v>
      </c>
      <c r="E13" s="981">
        <v>4782</v>
      </c>
      <c r="F13" s="981">
        <v>15</v>
      </c>
      <c r="G13" s="981">
        <v>465.5</v>
      </c>
      <c r="H13" s="981">
        <v>17</v>
      </c>
      <c r="I13" s="981">
        <v>128.5</v>
      </c>
    </row>
    <row r="14" spans="1:9" x14ac:dyDescent="0.25">
      <c r="A14" s="981" t="s">
        <v>258</v>
      </c>
      <c r="B14" s="981">
        <v>7508</v>
      </c>
      <c r="C14" s="981">
        <v>36452.25</v>
      </c>
      <c r="D14" s="981">
        <v>364</v>
      </c>
      <c r="E14" s="981">
        <v>3759.25</v>
      </c>
      <c r="F14" s="981">
        <v>22</v>
      </c>
      <c r="G14" s="981">
        <v>521.75</v>
      </c>
      <c r="H14" s="981">
        <v>20</v>
      </c>
      <c r="I14" s="981">
        <v>237.5</v>
      </c>
    </row>
    <row r="35" spans="1:5" x14ac:dyDescent="0.25">
      <c r="A35" s="983" t="s">
        <v>1028</v>
      </c>
      <c r="B35" s="983" t="s">
        <v>1029</v>
      </c>
      <c r="C35" s="983" t="s">
        <v>1030</v>
      </c>
      <c r="D35" s="983" t="s">
        <v>1031</v>
      </c>
      <c r="E35" s="983" t="s">
        <v>1032</v>
      </c>
    </row>
    <row r="36" spans="1:5" x14ac:dyDescent="0.25">
      <c r="A36" s="981" t="s">
        <v>206</v>
      </c>
      <c r="B36" s="981">
        <v>21</v>
      </c>
      <c r="C36" s="981"/>
      <c r="D36" s="981">
        <v>21</v>
      </c>
      <c r="E36" s="981">
        <v>15</v>
      </c>
    </row>
    <row r="37" spans="1:5" x14ac:dyDescent="0.25">
      <c r="A37" s="981" t="s">
        <v>205</v>
      </c>
      <c r="B37" s="981">
        <v>22</v>
      </c>
      <c r="C37" s="981"/>
      <c r="D37" s="981">
        <v>22</v>
      </c>
      <c r="E37" s="981">
        <v>17</v>
      </c>
    </row>
    <row r="38" spans="1:5" x14ac:dyDescent="0.25">
      <c r="A38" s="981" t="s">
        <v>278</v>
      </c>
      <c r="B38" s="981">
        <v>17</v>
      </c>
      <c r="C38" s="981">
        <v>1</v>
      </c>
      <c r="D38" s="981">
        <v>15</v>
      </c>
      <c r="E38" s="981">
        <v>17</v>
      </c>
    </row>
    <row r="39" spans="1:5" x14ac:dyDescent="0.25">
      <c r="A39" s="981" t="s">
        <v>259</v>
      </c>
      <c r="B39" s="981">
        <v>25</v>
      </c>
      <c r="C39" s="981">
        <v>2</v>
      </c>
      <c r="D39" s="981">
        <v>15</v>
      </c>
      <c r="E39" s="981">
        <v>25</v>
      </c>
    </row>
    <row r="40" spans="1:5" x14ac:dyDescent="0.25">
      <c r="A40" s="981" t="s">
        <v>258</v>
      </c>
      <c r="B40" s="981">
        <v>19</v>
      </c>
      <c r="C40" s="981">
        <v>2</v>
      </c>
      <c r="D40" s="981">
        <v>16</v>
      </c>
      <c r="E40" s="981">
        <v>19</v>
      </c>
    </row>
  </sheetData>
  <pageMargins left="0.7" right="0.7" top="0.75" bottom="0.75" header="0.3" footer="0.3"/>
  <pageSetup paperSize="9" fitToHeight="50"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pageSetUpPr fitToPage="1"/>
  </sheetPr>
  <dimension ref="A4:J79"/>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10" x14ac:dyDescent="0.25">
      <c r="A4" s="980" t="s">
        <v>334</v>
      </c>
      <c r="B4" s="980" t="s">
        <v>1045</v>
      </c>
      <c r="C4" s="980" t="s">
        <v>1049</v>
      </c>
      <c r="D4" s="980" t="s">
        <v>1050</v>
      </c>
      <c r="E4" s="980" t="s">
        <v>1051</v>
      </c>
      <c r="F4" s="980" t="s">
        <v>1052</v>
      </c>
      <c r="G4" s="980" t="s">
        <v>1053</v>
      </c>
      <c r="H4" s="980" t="s">
        <v>1054</v>
      </c>
      <c r="I4" s="980" t="s">
        <v>1055</v>
      </c>
      <c r="J4" s="980" t="s">
        <v>1056</v>
      </c>
    </row>
    <row r="5" spans="1:10" x14ac:dyDescent="0.25">
      <c r="A5" s="981" t="s">
        <v>206</v>
      </c>
      <c r="B5" s="981" t="s">
        <v>442</v>
      </c>
      <c r="C5" s="981">
        <v>330</v>
      </c>
      <c r="D5" s="981">
        <v>2088.25</v>
      </c>
      <c r="E5" s="981">
        <v>4</v>
      </c>
      <c r="F5" s="981">
        <v>37.5</v>
      </c>
      <c r="G5" s="981"/>
      <c r="H5" s="981"/>
      <c r="I5" s="981"/>
      <c r="J5" s="981"/>
    </row>
    <row r="6" spans="1:10" x14ac:dyDescent="0.25">
      <c r="A6" s="981" t="s">
        <v>206</v>
      </c>
      <c r="B6" s="981" t="s">
        <v>443</v>
      </c>
      <c r="C6" s="981">
        <v>1456</v>
      </c>
      <c r="D6" s="981">
        <v>8821.25</v>
      </c>
      <c r="E6" s="981">
        <v>50</v>
      </c>
      <c r="F6" s="981">
        <v>482.25</v>
      </c>
      <c r="G6" s="981">
        <v>1</v>
      </c>
      <c r="H6" s="981">
        <v>31</v>
      </c>
      <c r="I6" s="981"/>
      <c r="J6" s="981"/>
    </row>
    <row r="7" spans="1:10" x14ac:dyDescent="0.25">
      <c r="A7" s="981" t="s">
        <v>206</v>
      </c>
      <c r="B7" s="981" t="s">
        <v>444</v>
      </c>
      <c r="C7" s="981">
        <v>1871</v>
      </c>
      <c r="D7" s="981">
        <v>7024.75</v>
      </c>
      <c r="E7" s="981">
        <v>76</v>
      </c>
      <c r="F7" s="981">
        <v>361.75</v>
      </c>
      <c r="G7" s="981">
        <v>2</v>
      </c>
      <c r="H7" s="981">
        <v>19.25</v>
      </c>
      <c r="I7" s="981">
        <v>1</v>
      </c>
      <c r="J7" s="981">
        <v>7.5</v>
      </c>
    </row>
    <row r="8" spans="1:10" x14ac:dyDescent="0.25">
      <c r="A8" s="981" t="s">
        <v>206</v>
      </c>
      <c r="B8" s="981" t="s">
        <v>445</v>
      </c>
      <c r="C8" s="981">
        <v>127</v>
      </c>
      <c r="D8" s="981">
        <v>588.75</v>
      </c>
      <c r="E8" s="981">
        <v>11</v>
      </c>
      <c r="F8" s="981">
        <v>66.25</v>
      </c>
      <c r="G8" s="981"/>
      <c r="H8" s="981"/>
      <c r="I8" s="981">
        <v>1</v>
      </c>
      <c r="J8" s="981">
        <v>5.5</v>
      </c>
    </row>
    <row r="9" spans="1:10" x14ac:dyDescent="0.25">
      <c r="A9" s="981" t="s">
        <v>206</v>
      </c>
      <c r="B9" s="981" t="s">
        <v>446</v>
      </c>
      <c r="C9" s="981">
        <v>1022</v>
      </c>
      <c r="D9" s="981">
        <v>6361.5</v>
      </c>
      <c r="E9" s="981">
        <v>87</v>
      </c>
      <c r="F9" s="981">
        <v>868.25</v>
      </c>
      <c r="G9" s="981">
        <v>6</v>
      </c>
      <c r="H9" s="981">
        <v>150.5</v>
      </c>
      <c r="I9" s="981"/>
      <c r="J9" s="981"/>
    </row>
    <row r="10" spans="1:10" x14ac:dyDescent="0.25">
      <c r="A10" s="981" t="s">
        <v>206</v>
      </c>
      <c r="B10" s="981" t="s">
        <v>447</v>
      </c>
      <c r="C10" s="981">
        <v>234</v>
      </c>
      <c r="D10" s="981">
        <v>1136.75</v>
      </c>
      <c r="E10" s="981">
        <v>17</v>
      </c>
      <c r="F10" s="981">
        <v>120</v>
      </c>
      <c r="G10" s="981"/>
      <c r="H10" s="981"/>
      <c r="I10" s="981"/>
      <c r="J10" s="981"/>
    </row>
    <row r="11" spans="1:10" x14ac:dyDescent="0.25">
      <c r="A11" s="981" t="s">
        <v>206</v>
      </c>
      <c r="B11" s="981" t="s">
        <v>448</v>
      </c>
      <c r="C11" s="981">
        <v>27</v>
      </c>
      <c r="D11" s="981">
        <v>201</v>
      </c>
      <c r="E11" s="981">
        <v>1</v>
      </c>
      <c r="F11" s="981">
        <v>4.75</v>
      </c>
      <c r="G11" s="981"/>
      <c r="H11" s="981"/>
      <c r="I11" s="981"/>
      <c r="J11" s="981"/>
    </row>
    <row r="12" spans="1:10" x14ac:dyDescent="0.25">
      <c r="A12" s="981" t="s">
        <v>206</v>
      </c>
      <c r="B12" s="981" t="s">
        <v>449</v>
      </c>
      <c r="C12" s="981">
        <v>67</v>
      </c>
      <c r="D12" s="981">
        <v>370.5</v>
      </c>
      <c r="E12" s="981">
        <v>1</v>
      </c>
      <c r="F12" s="981">
        <v>7.25</v>
      </c>
      <c r="G12" s="981"/>
      <c r="H12" s="981"/>
      <c r="I12" s="981"/>
      <c r="J12" s="981"/>
    </row>
    <row r="13" spans="1:10" x14ac:dyDescent="0.25">
      <c r="A13" s="981" t="s">
        <v>206</v>
      </c>
      <c r="B13" s="981" t="s">
        <v>450</v>
      </c>
      <c r="C13" s="981">
        <v>553</v>
      </c>
      <c r="D13" s="981">
        <v>2713</v>
      </c>
      <c r="E13" s="981">
        <v>43</v>
      </c>
      <c r="F13" s="981">
        <v>383.25</v>
      </c>
      <c r="G13" s="981"/>
      <c r="H13" s="981"/>
      <c r="I13" s="981"/>
      <c r="J13" s="981"/>
    </row>
    <row r="14" spans="1:10" x14ac:dyDescent="0.25">
      <c r="A14" s="981" t="s">
        <v>206</v>
      </c>
      <c r="B14" s="981" t="s">
        <v>451</v>
      </c>
      <c r="C14" s="981">
        <v>257</v>
      </c>
      <c r="D14" s="981">
        <v>1527</v>
      </c>
      <c r="E14" s="981">
        <v>3</v>
      </c>
      <c r="F14" s="981">
        <v>23.5</v>
      </c>
      <c r="G14" s="981"/>
      <c r="H14" s="981"/>
      <c r="I14" s="981"/>
      <c r="J14" s="981"/>
    </row>
    <row r="15" spans="1:10" x14ac:dyDescent="0.25">
      <c r="A15" s="981" t="s">
        <v>206</v>
      </c>
      <c r="B15" s="981" t="s">
        <v>452</v>
      </c>
      <c r="C15" s="981">
        <v>644</v>
      </c>
      <c r="D15" s="981">
        <v>3222.75</v>
      </c>
      <c r="E15" s="981">
        <v>39</v>
      </c>
      <c r="F15" s="981">
        <v>284.75</v>
      </c>
      <c r="G15" s="981"/>
      <c r="H15" s="981"/>
      <c r="I15" s="981"/>
      <c r="J15" s="981"/>
    </row>
    <row r="16" spans="1:10" x14ac:dyDescent="0.25">
      <c r="A16" s="981" t="s">
        <v>206</v>
      </c>
      <c r="B16" s="981" t="s">
        <v>453</v>
      </c>
      <c r="C16" s="981">
        <v>343</v>
      </c>
      <c r="D16" s="981">
        <v>1793.75</v>
      </c>
      <c r="E16" s="981">
        <v>13</v>
      </c>
      <c r="F16" s="981">
        <v>95</v>
      </c>
      <c r="G16" s="981"/>
      <c r="H16" s="981"/>
      <c r="I16" s="981">
        <v>1</v>
      </c>
      <c r="J16" s="981">
        <v>12.5</v>
      </c>
    </row>
    <row r="17" spans="1:10" x14ac:dyDescent="0.25">
      <c r="A17" s="981" t="s">
        <v>206</v>
      </c>
      <c r="B17" s="981" t="s">
        <v>454</v>
      </c>
      <c r="C17" s="981">
        <v>388</v>
      </c>
      <c r="D17" s="981">
        <v>2008.75</v>
      </c>
      <c r="E17" s="981">
        <v>24</v>
      </c>
      <c r="F17" s="981">
        <v>214.75</v>
      </c>
      <c r="G17" s="981"/>
      <c r="H17" s="981"/>
      <c r="I17" s="981"/>
      <c r="J17" s="981"/>
    </row>
    <row r="18" spans="1:10" x14ac:dyDescent="0.25">
      <c r="A18" s="981" t="s">
        <v>206</v>
      </c>
      <c r="B18" s="981" t="s">
        <v>455</v>
      </c>
      <c r="C18" s="981">
        <v>333</v>
      </c>
      <c r="D18" s="981">
        <v>1754.75</v>
      </c>
      <c r="E18" s="981">
        <v>11</v>
      </c>
      <c r="F18" s="981">
        <v>75</v>
      </c>
      <c r="G18" s="981">
        <v>1</v>
      </c>
      <c r="H18" s="981">
        <v>5.5</v>
      </c>
      <c r="I18" s="981"/>
      <c r="J18" s="981"/>
    </row>
    <row r="19" spans="1:10" x14ac:dyDescent="0.25">
      <c r="A19" s="981" t="s">
        <v>206</v>
      </c>
      <c r="B19" s="981" t="s">
        <v>456</v>
      </c>
      <c r="C19" s="981">
        <v>164</v>
      </c>
      <c r="D19" s="981">
        <v>872.25</v>
      </c>
      <c r="E19" s="981">
        <v>10</v>
      </c>
      <c r="F19" s="981">
        <v>110.25</v>
      </c>
      <c r="G19" s="981"/>
      <c r="H19" s="981"/>
      <c r="I19" s="981"/>
      <c r="J19" s="981"/>
    </row>
    <row r="20" spans="1:10" x14ac:dyDescent="0.25">
      <c r="A20" s="981" t="s">
        <v>205</v>
      </c>
      <c r="B20" s="981" t="s">
        <v>442</v>
      </c>
      <c r="C20" s="981">
        <v>409</v>
      </c>
      <c r="D20" s="981">
        <v>2440</v>
      </c>
      <c r="E20" s="981">
        <v>42</v>
      </c>
      <c r="F20" s="981">
        <v>504.75</v>
      </c>
      <c r="G20" s="981">
        <v>1</v>
      </c>
      <c r="H20" s="981">
        <v>32</v>
      </c>
      <c r="I20" s="981"/>
      <c r="J20" s="981"/>
    </row>
    <row r="21" spans="1:10" x14ac:dyDescent="0.25">
      <c r="A21" s="981" t="s">
        <v>205</v>
      </c>
      <c r="B21" s="981" t="s">
        <v>443</v>
      </c>
      <c r="C21" s="981">
        <v>1667</v>
      </c>
      <c r="D21" s="981">
        <v>9716.25</v>
      </c>
      <c r="E21" s="981">
        <v>93</v>
      </c>
      <c r="F21" s="981">
        <v>978.75</v>
      </c>
      <c r="G21" s="981">
        <v>3</v>
      </c>
      <c r="H21" s="981">
        <v>76.25</v>
      </c>
      <c r="I21" s="981"/>
      <c r="J21" s="981"/>
    </row>
    <row r="22" spans="1:10" x14ac:dyDescent="0.25">
      <c r="A22" s="981" t="s">
        <v>205</v>
      </c>
      <c r="B22" s="981" t="s">
        <v>444</v>
      </c>
      <c r="C22" s="981">
        <v>2916</v>
      </c>
      <c r="D22" s="981">
        <v>10285.25</v>
      </c>
      <c r="E22" s="981">
        <v>146</v>
      </c>
      <c r="F22" s="981">
        <v>902.5</v>
      </c>
      <c r="G22" s="981">
        <v>2</v>
      </c>
      <c r="H22" s="981">
        <v>14.5</v>
      </c>
      <c r="I22" s="981">
        <v>1</v>
      </c>
      <c r="J22" s="981">
        <v>3.75</v>
      </c>
    </row>
    <row r="23" spans="1:10" x14ac:dyDescent="0.25">
      <c r="A23" s="981" t="s">
        <v>205</v>
      </c>
      <c r="B23" s="981" t="s">
        <v>445</v>
      </c>
      <c r="C23" s="981">
        <v>109</v>
      </c>
      <c r="D23" s="981">
        <v>654.75</v>
      </c>
      <c r="E23" s="981">
        <v>10</v>
      </c>
      <c r="F23" s="981">
        <v>118.75</v>
      </c>
      <c r="G23" s="981">
        <v>1</v>
      </c>
      <c r="H23" s="981">
        <v>26.5</v>
      </c>
      <c r="I23" s="981"/>
      <c r="J23" s="981"/>
    </row>
    <row r="24" spans="1:10" x14ac:dyDescent="0.25">
      <c r="A24" s="981" t="s">
        <v>205</v>
      </c>
      <c r="B24" s="981" t="s">
        <v>446</v>
      </c>
      <c r="C24" s="981">
        <v>1100</v>
      </c>
      <c r="D24" s="981">
        <v>6862.25</v>
      </c>
      <c r="E24" s="981">
        <v>163</v>
      </c>
      <c r="F24" s="981">
        <v>2008.25</v>
      </c>
      <c r="G24" s="981">
        <v>14</v>
      </c>
      <c r="H24" s="981">
        <v>436.5</v>
      </c>
      <c r="I24" s="981"/>
      <c r="J24" s="981"/>
    </row>
    <row r="25" spans="1:10" x14ac:dyDescent="0.25">
      <c r="A25" s="981" t="s">
        <v>205</v>
      </c>
      <c r="B25" s="981" t="s">
        <v>447</v>
      </c>
      <c r="C25" s="981">
        <v>317</v>
      </c>
      <c r="D25" s="981">
        <v>1475</v>
      </c>
      <c r="E25" s="981">
        <v>34</v>
      </c>
      <c r="F25" s="981">
        <v>285.75</v>
      </c>
      <c r="G25" s="981"/>
      <c r="H25" s="981"/>
      <c r="I25" s="981"/>
      <c r="J25" s="981"/>
    </row>
    <row r="26" spans="1:10" x14ac:dyDescent="0.25">
      <c r="A26" s="981" t="s">
        <v>205</v>
      </c>
      <c r="B26" s="981" t="s">
        <v>448</v>
      </c>
      <c r="C26" s="981">
        <v>35</v>
      </c>
      <c r="D26" s="981">
        <v>248.75</v>
      </c>
      <c r="E26" s="981">
        <v>1</v>
      </c>
      <c r="F26" s="981">
        <v>6.5</v>
      </c>
      <c r="G26" s="981"/>
      <c r="H26" s="981"/>
      <c r="I26" s="981"/>
      <c r="J26" s="981"/>
    </row>
    <row r="27" spans="1:10" x14ac:dyDescent="0.25">
      <c r="A27" s="981" t="s">
        <v>205</v>
      </c>
      <c r="B27" s="981" t="s">
        <v>449</v>
      </c>
      <c r="C27" s="981">
        <v>48</v>
      </c>
      <c r="D27" s="981">
        <v>249.5</v>
      </c>
      <c r="E27" s="981">
        <v>1</v>
      </c>
      <c r="F27" s="981">
        <v>20.25</v>
      </c>
      <c r="G27" s="981"/>
      <c r="H27" s="981"/>
      <c r="I27" s="981"/>
      <c r="J27" s="981"/>
    </row>
    <row r="28" spans="1:10" x14ac:dyDescent="0.25">
      <c r="A28" s="981" t="s">
        <v>205</v>
      </c>
      <c r="B28" s="981" t="s">
        <v>450</v>
      </c>
      <c r="C28" s="981">
        <v>437</v>
      </c>
      <c r="D28" s="981">
        <v>2243.5</v>
      </c>
      <c r="E28" s="981">
        <v>57</v>
      </c>
      <c r="F28" s="981">
        <v>475.25</v>
      </c>
      <c r="G28" s="981">
        <v>2</v>
      </c>
      <c r="H28" s="981">
        <v>26.25</v>
      </c>
      <c r="I28" s="981"/>
      <c r="J28" s="981"/>
    </row>
    <row r="29" spans="1:10" x14ac:dyDescent="0.25">
      <c r="A29" s="981" t="s">
        <v>205</v>
      </c>
      <c r="B29" s="981" t="s">
        <v>451</v>
      </c>
      <c r="C29" s="981">
        <v>216</v>
      </c>
      <c r="D29" s="981">
        <v>1257</v>
      </c>
      <c r="E29" s="981">
        <v>12</v>
      </c>
      <c r="F29" s="981">
        <v>100</v>
      </c>
      <c r="G29" s="981"/>
      <c r="H29" s="981"/>
      <c r="I29" s="981">
        <v>1</v>
      </c>
      <c r="J29" s="981">
        <v>2.5</v>
      </c>
    </row>
    <row r="30" spans="1:10" x14ac:dyDescent="0.25">
      <c r="A30" s="981" t="s">
        <v>205</v>
      </c>
      <c r="B30" s="981" t="s">
        <v>452</v>
      </c>
      <c r="C30" s="981">
        <v>598</v>
      </c>
      <c r="D30" s="981">
        <v>3214.5</v>
      </c>
      <c r="E30" s="981">
        <v>41</v>
      </c>
      <c r="F30" s="981">
        <v>283</v>
      </c>
      <c r="G30" s="981"/>
      <c r="H30" s="981"/>
      <c r="I30" s="981">
        <v>1</v>
      </c>
      <c r="J30" s="981">
        <v>11.5</v>
      </c>
    </row>
    <row r="31" spans="1:10" x14ac:dyDescent="0.25">
      <c r="A31" s="981" t="s">
        <v>205</v>
      </c>
      <c r="B31" s="981" t="s">
        <v>453</v>
      </c>
      <c r="C31" s="981">
        <v>303</v>
      </c>
      <c r="D31" s="981">
        <v>1550.75</v>
      </c>
      <c r="E31" s="981">
        <v>17</v>
      </c>
      <c r="F31" s="981">
        <v>153</v>
      </c>
      <c r="G31" s="981"/>
      <c r="H31" s="981"/>
      <c r="I31" s="981"/>
      <c r="J31" s="981"/>
    </row>
    <row r="32" spans="1:10" x14ac:dyDescent="0.25">
      <c r="A32" s="981" t="s">
        <v>205</v>
      </c>
      <c r="B32" s="981" t="s">
        <v>454</v>
      </c>
      <c r="C32" s="981">
        <v>476</v>
      </c>
      <c r="D32" s="981">
        <v>2044.25</v>
      </c>
      <c r="E32" s="981">
        <v>9</v>
      </c>
      <c r="F32" s="981">
        <v>74.75</v>
      </c>
      <c r="G32" s="981"/>
      <c r="H32" s="981"/>
      <c r="I32" s="981"/>
      <c r="J32" s="981"/>
    </row>
    <row r="33" spans="1:10" x14ac:dyDescent="0.25">
      <c r="A33" s="981" t="s">
        <v>205</v>
      </c>
      <c r="B33" s="981" t="s">
        <v>455</v>
      </c>
      <c r="C33" s="981">
        <v>364</v>
      </c>
      <c r="D33" s="981">
        <v>1734.75</v>
      </c>
      <c r="E33" s="981">
        <v>15</v>
      </c>
      <c r="F33" s="981">
        <v>95.75</v>
      </c>
      <c r="G33" s="981"/>
      <c r="H33" s="981"/>
      <c r="I33" s="981"/>
      <c r="J33" s="981"/>
    </row>
    <row r="34" spans="1:10" x14ac:dyDescent="0.25">
      <c r="A34" s="981" t="s">
        <v>205</v>
      </c>
      <c r="B34" s="981" t="s">
        <v>456</v>
      </c>
      <c r="C34" s="981">
        <v>190</v>
      </c>
      <c r="D34" s="981">
        <v>988.5</v>
      </c>
      <c r="E34" s="981">
        <v>8</v>
      </c>
      <c r="F34" s="981">
        <v>62.25</v>
      </c>
      <c r="G34" s="981"/>
      <c r="H34" s="981"/>
      <c r="I34" s="981">
        <v>1</v>
      </c>
      <c r="J34" s="981">
        <v>5.5</v>
      </c>
    </row>
    <row r="35" spans="1:10" x14ac:dyDescent="0.25">
      <c r="A35" s="981" t="s">
        <v>278</v>
      </c>
      <c r="B35" s="981" t="s">
        <v>442</v>
      </c>
      <c r="C35" s="981">
        <v>359</v>
      </c>
      <c r="D35" s="981">
        <v>1911.75</v>
      </c>
      <c r="E35" s="981">
        <v>37</v>
      </c>
      <c r="F35" s="981">
        <v>370.75</v>
      </c>
      <c r="G35" s="981"/>
      <c r="H35" s="981"/>
      <c r="I35" s="981"/>
      <c r="J35" s="981"/>
    </row>
    <row r="36" spans="1:10" x14ac:dyDescent="0.25">
      <c r="A36" s="981" t="s">
        <v>278</v>
      </c>
      <c r="B36" s="981" t="s">
        <v>443</v>
      </c>
      <c r="C36" s="981">
        <v>1660</v>
      </c>
      <c r="D36" s="981">
        <v>9324.75</v>
      </c>
      <c r="E36" s="981">
        <v>59</v>
      </c>
      <c r="F36" s="981">
        <v>711.5</v>
      </c>
      <c r="G36" s="981"/>
      <c r="H36" s="981"/>
      <c r="I36" s="981"/>
      <c r="J36" s="981"/>
    </row>
    <row r="37" spans="1:10" x14ac:dyDescent="0.25">
      <c r="A37" s="981" t="s">
        <v>278</v>
      </c>
      <c r="B37" s="981" t="s">
        <v>444</v>
      </c>
      <c r="C37" s="981">
        <v>2531</v>
      </c>
      <c r="D37" s="981">
        <v>8986</v>
      </c>
      <c r="E37" s="981">
        <v>119</v>
      </c>
      <c r="F37" s="981">
        <v>614</v>
      </c>
      <c r="G37" s="981">
        <v>9</v>
      </c>
      <c r="H37" s="981">
        <v>69.25</v>
      </c>
      <c r="I37" s="981">
        <v>4</v>
      </c>
      <c r="J37" s="981">
        <v>22.25</v>
      </c>
    </row>
    <row r="38" spans="1:10" x14ac:dyDescent="0.25">
      <c r="A38" s="981" t="s">
        <v>278</v>
      </c>
      <c r="B38" s="981" t="s">
        <v>445</v>
      </c>
      <c r="C38" s="981">
        <v>119</v>
      </c>
      <c r="D38" s="981">
        <v>607</v>
      </c>
      <c r="E38" s="981">
        <v>9</v>
      </c>
      <c r="F38" s="981">
        <v>83.5</v>
      </c>
      <c r="G38" s="981">
        <v>1</v>
      </c>
      <c r="H38" s="981">
        <v>6.75</v>
      </c>
      <c r="I38" s="981"/>
      <c r="J38" s="981"/>
    </row>
    <row r="39" spans="1:10" x14ac:dyDescent="0.25">
      <c r="A39" s="981" t="s">
        <v>278</v>
      </c>
      <c r="B39" s="981" t="s">
        <v>446</v>
      </c>
      <c r="C39" s="981">
        <v>990</v>
      </c>
      <c r="D39" s="981">
        <v>5995.25</v>
      </c>
      <c r="E39" s="981">
        <v>148</v>
      </c>
      <c r="F39" s="981">
        <v>1626.25</v>
      </c>
      <c r="G39" s="981">
        <v>8</v>
      </c>
      <c r="H39" s="981">
        <v>268.5</v>
      </c>
      <c r="I39" s="981">
        <v>3</v>
      </c>
      <c r="J39" s="981">
        <v>20.75</v>
      </c>
    </row>
    <row r="40" spans="1:10" x14ac:dyDescent="0.25">
      <c r="A40" s="981" t="s">
        <v>278</v>
      </c>
      <c r="B40" s="981" t="s">
        <v>447</v>
      </c>
      <c r="C40" s="981">
        <v>338</v>
      </c>
      <c r="D40" s="981">
        <v>1664</v>
      </c>
      <c r="E40" s="981">
        <v>33</v>
      </c>
      <c r="F40" s="981">
        <v>287.5</v>
      </c>
      <c r="G40" s="981">
        <v>2</v>
      </c>
      <c r="H40" s="981">
        <v>39</v>
      </c>
      <c r="I40" s="981">
        <v>2</v>
      </c>
      <c r="J40" s="981">
        <v>7.25</v>
      </c>
    </row>
    <row r="41" spans="1:10" x14ac:dyDescent="0.25">
      <c r="A41" s="981" t="s">
        <v>278</v>
      </c>
      <c r="B41" s="981" t="s">
        <v>448</v>
      </c>
      <c r="C41" s="981">
        <v>20</v>
      </c>
      <c r="D41" s="981">
        <v>104.5</v>
      </c>
      <c r="E41" s="981">
        <v>1</v>
      </c>
      <c r="F41" s="981">
        <v>11.5</v>
      </c>
      <c r="G41" s="981"/>
      <c r="H41" s="981"/>
      <c r="I41" s="981"/>
      <c r="J41" s="981"/>
    </row>
    <row r="42" spans="1:10" x14ac:dyDescent="0.25">
      <c r="A42" s="981" t="s">
        <v>278</v>
      </c>
      <c r="B42" s="981" t="s">
        <v>449</v>
      </c>
      <c r="C42" s="981">
        <v>63</v>
      </c>
      <c r="D42" s="981">
        <v>340.5</v>
      </c>
      <c r="E42" s="981">
        <v>3</v>
      </c>
      <c r="F42" s="981">
        <v>33.25</v>
      </c>
      <c r="G42" s="981"/>
      <c r="H42" s="981"/>
      <c r="I42" s="981"/>
      <c r="J42" s="981"/>
    </row>
    <row r="43" spans="1:10" x14ac:dyDescent="0.25">
      <c r="A43" s="981" t="s">
        <v>278</v>
      </c>
      <c r="B43" s="981" t="s">
        <v>450</v>
      </c>
      <c r="C43" s="981">
        <v>421</v>
      </c>
      <c r="D43" s="981">
        <v>2155.5</v>
      </c>
      <c r="E43" s="981">
        <v>61</v>
      </c>
      <c r="F43" s="981">
        <v>470.25</v>
      </c>
      <c r="G43" s="981">
        <v>1</v>
      </c>
      <c r="H43" s="981">
        <v>11.75</v>
      </c>
      <c r="I43" s="981">
        <v>1</v>
      </c>
      <c r="J43" s="981">
        <v>8.5</v>
      </c>
    </row>
    <row r="44" spans="1:10" x14ac:dyDescent="0.25">
      <c r="A44" s="981" t="s">
        <v>278</v>
      </c>
      <c r="B44" s="981" t="s">
        <v>451</v>
      </c>
      <c r="C44" s="981">
        <v>350</v>
      </c>
      <c r="D44" s="981">
        <v>2174</v>
      </c>
      <c r="E44" s="981">
        <v>13</v>
      </c>
      <c r="F44" s="981">
        <v>160.75</v>
      </c>
      <c r="G44" s="981"/>
      <c r="H44" s="981"/>
      <c r="I44" s="981"/>
      <c r="J44" s="981"/>
    </row>
    <row r="45" spans="1:10" x14ac:dyDescent="0.25">
      <c r="A45" s="981" t="s">
        <v>278</v>
      </c>
      <c r="B45" s="981" t="s">
        <v>452</v>
      </c>
      <c r="C45" s="981">
        <v>497</v>
      </c>
      <c r="D45" s="981">
        <v>2570.75</v>
      </c>
      <c r="E45" s="981">
        <v>26</v>
      </c>
      <c r="F45" s="981">
        <v>227.75</v>
      </c>
      <c r="G45" s="981"/>
      <c r="H45" s="981"/>
      <c r="I45" s="981">
        <v>2</v>
      </c>
      <c r="J45" s="981">
        <v>13.5</v>
      </c>
    </row>
    <row r="46" spans="1:10" x14ac:dyDescent="0.25">
      <c r="A46" s="981" t="s">
        <v>278</v>
      </c>
      <c r="B46" s="981" t="s">
        <v>453</v>
      </c>
      <c r="C46" s="981">
        <v>221</v>
      </c>
      <c r="D46" s="981">
        <v>1244.75</v>
      </c>
      <c r="E46" s="981">
        <v>14</v>
      </c>
      <c r="F46" s="981">
        <v>103.25</v>
      </c>
      <c r="G46" s="981"/>
      <c r="H46" s="981"/>
      <c r="I46" s="981"/>
      <c r="J46" s="981"/>
    </row>
    <row r="47" spans="1:10" x14ac:dyDescent="0.25">
      <c r="A47" s="981" t="s">
        <v>278</v>
      </c>
      <c r="B47" s="981" t="s">
        <v>454</v>
      </c>
      <c r="C47" s="981">
        <v>319</v>
      </c>
      <c r="D47" s="981">
        <v>1744</v>
      </c>
      <c r="E47" s="981">
        <v>10</v>
      </c>
      <c r="F47" s="981">
        <v>102.75</v>
      </c>
      <c r="G47" s="981"/>
      <c r="H47" s="981"/>
      <c r="I47" s="981"/>
      <c r="J47" s="981"/>
    </row>
    <row r="48" spans="1:10" x14ac:dyDescent="0.25">
      <c r="A48" s="981" t="s">
        <v>278</v>
      </c>
      <c r="B48" s="981" t="s">
        <v>455</v>
      </c>
      <c r="C48" s="981">
        <v>264</v>
      </c>
      <c r="D48" s="981">
        <v>1213.5</v>
      </c>
      <c r="E48" s="981">
        <v>11</v>
      </c>
      <c r="F48" s="981">
        <v>97.25</v>
      </c>
      <c r="G48" s="981"/>
      <c r="H48" s="981"/>
      <c r="I48" s="981"/>
      <c r="J48" s="981"/>
    </row>
    <row r="49" spans="1:10" x14ac:dyDescent="0.25">
      <c r="A49" s="981" t="s">
        <v>278</v>
      </c>
      <c r="B49" s="981" t="s">
        <v>456</v>
      </c>
      <c r="C49" s="981">
        <v>233</v>
      </c>
      <c r="D49" s="981">
        <v>1339.75</v>
      </c>
      <c r="E49" s="981">
        <v>10</v>
      </c>
      <c r="F49" s="981">
        <v>90.5</v>
      </c>
      <c r="G49" s="981"/>
      <c r="H49" s="981"/>
      <c r="I49" s="981"/>
      <c r="J49" s="981"/>
    </row>
    <row r="50" spans="1:10" x14ac:dyDescent="0.25">
      <c r="A50" s="981" t="s">
        <v>259</v>
      </c>
      <c r="B50" s="981" t="s">
        <v>442</v>
      </c>
      <c r="C50" s="981">
        <v>342</v>
      </c>
      <c r="D50" s="981">
        <v>1662</v>
      </c>
      <c r="E50" s="981">
        <v>25</v>
      </c>
      <c r="F50" s="981">
        <v>274.25</v>
      </c>
      <c r="G50" s="981"/>
      <c r="H50" s="981"/>
      <c r="I50" s="981"/>
      <c r="J50" s="981"/>
    </row>
    <row r="51" spans="1:10" x14ac:dyDescent="0.25">
      <c r="A51" s="981" t="s">
        <v>259</v>
      </c>
      <c r="B51" s="981" t="s">
        <v>443</v>
      </c>
      <c r="C51" s="981">
        <v>1599</v>
      </c>
      <c r="D51" s="981">
        <v>8671.5</v>
      </c>
      <c r="E51" s="981">
        <v>54</v>
      </c>
      <c r="F51" s="981">
        <v>593.75</v>
      </c>
      <c r="G51" s="981"/>
      <c r="H51" s="981"/>
      <c r="I51" s="981"/>
      <c r="J51" s="981"/>
    </row>
    <row r="52" spans="1:10" x14ac:dyDescent="0.25">
      <c r="A52" s="981" t="s">
        <v>259</v>
      </c>
      <c r="B52" s="981" t="s">
        <v>444</v>
      </c>
      <c r="C52" s="981">
        <v>1986</v>
      </c>
      <c r="D52" s="981">
        <v>7167.75</v>
      </c>
      <c r="E52" s="981">
        <v>91</v>
      </c>
      <c r="F52" s="981">
        <v>794.5</v>
      </c>
      <c r="G52" s="981">
        <v>2</v>
      </c>
      <c r="H52" s="981">
        <v>51.75</v>
      </c>
      <c r="I52" s="981">
        <v>4</v>
      </c>
      <c r="J52" s="981">
        <v>16.25</v>
      </c>
    </row>
    <row r="53" spans="1:10" x14ac:dyDescent="0.25">
      <c r="A53" s="981" t="s">
        <v>259</v>
      </c>
      <c r="B53" s="981" t="s">
        <v>445</v>
      </c>
      <c r="C53" s="981">
        <v>94</v>
      </c>
      <c r="D53" s="981">
        <v>573.5</v>
      </c>
      <c r="E53" s="981">
        <v>10</v>
      </c>
      <c r="F53" s="981">
        <v>114.75</v>
      </c>
      <c r="G53" s="981"/>
      <c r="H53" s="981"/>
      <c r="I53" s="981">
        <v>1</v>
      </c>
      <c r="J53" s="981">
        <v>2</v>
      </c>
    </row>
    <row r="54" spans="1:10" x14ac:dyDescent="0.25">
      <c r="A54" s="981" t="s">
        <v>259</v>
      </c>
      <c r="B54" s="981" t="s">
        <v>446</v>
      </c>
      <c r="C54" s="981">
        <v>1018</v>
      </c>
      <c r="D54" s="981">
        <v>5856.5</v>
      </c>
      <c r="E54" s="981">
        <v>149</v>
      </c>
      <c r="F54" s="981">
        <v>1800.5</v>
      </c>
      <c r="G54" s="981">
        <v>9</v>
      </c>
      <c r="H54" s="981">
        <v>378.75</v>
      </c>
      <c r="I54" s="981">
        <v>6</v>
      </c>
      <c r="J54" s="981">
        <v>72.5</v>
      </c>
    </row>
    <row r="55" spans="1:10" x14ac:dyDescent="0.25">
      <c r="A55" s="981" t="s">
        <v>259</v>
      </c>
      <c r="B55" s="981" t="s">
        <v>447</v>
      </c>
      <c r="C55" s="981">
        <v>375</v>
      </c>
      <c r="D55" s="981">
        <v>1755</v>
      </c>
      <c r="E55" s="981">
        <v>33</v>
      </c>
      <c r="F55" s="981">
        <v>257.25</v>
      </c>
      <c r="G55" s="981"/>
      <c r="H55" s="981"/>
      <c r="I55" s="981">
        <v>1</v>
      </c>
      <c r="J55" s="981">
        <v>7.5</v>
      </c>
    </row>
    <row r="56" spans="1:10" x14ac:dyDescent="0.25">
      <c r="A56" s="981" t="s">
        <v>259</v>
      </c>
      <c r="B56" s="981" t="s">
        <v>448</v>
      </c>
      <c r="C56" s="981">
        <v>34</v>
      </c>
      <c r="D56" s="981">
        <v>183</v>
      </c>
      <c r="E56" s="981">
        <v>3</v>
      </c>
      <c r="F56" s="981">
        <v>56.5</v>
      </c>
      <c r="G56" s="981"/>
      <c r="H56" s="981"/>
      <c r="I56" s="981"/>
      <c r="J56" s="981"/>
    </row>
    <row r="57" spans="1:10" x14ac:dyDescent="0.25">
      <c r="A57" s="981" t="s">
        <v>259</v>
      </c>
      <c r="B57" s="981" t="s">
        <v>449</v>
      </c>
      <c r="C57" s="981">
        <v>55</v>
      </c>
      <c r="D57" s="981">
        <v>288</v>
      </c>
      <c r="E57" s="981">
        <v>4</v>
      </c>
      <c r="F57" s="981">
        <v>35.75</v>
      </c>
      <c r="G57" s="981"/>
      <c r="H57" s="981"/>
      <c r="I57" s="981"/>
      <c r="J57" s="981"/>
    </row>
    <row r="58" spans="1:10" x14ac:dyDescent="0.25">
      <c r="A58" s="981" t="s">
        <v>259</v>
      </c>
      <c r="B58" s="981" t="s">
        <v>450</v>
      </c>
      <c r="C58" s="981">
        <v>294</v>
      </c>
      <c r="D58" s="981">
        <v>1469.5</v>
      </c>
      <c r="E58" s="981">
        <v>38</v>
      </c>
      <c r="F58" s="981">
        <v>329.5</v>
      </c>
      <c r="G58" s="981">
        <v>3</v>
      </c>
      <c r="H58" s="981">
        <v>32</v>
      </c>
      <c r="I58" s="981">
        <v>3</v>
      </c>
      <c r="J58" s="981">
        <v>17.75</v>
      </c>
    </row>
    <row r="59" spans="1:10" x14ac:dyDescent="0.25">
      <c r="A59" s="981" t="s">
        <v>259</v>
      </c>
      <c r="B59" s="981" t="s">
        <v>451</v>
      </c>
      <c r="C59" s="981">
        <v>255</v>
      </c>
      <c r="D59" s="981">
        <v>1437.75</v>
      </c>
      <c r="E59" s="981">
        <v>13</v>
      </c>
      <c r="F59" s="981">
        <v>146.5</v>
      </c>
      <c r="G59" s="981"/>
      <c r="H59" s="981"/>
      <c r="I59" s="981"/>
      <c r="J59" s="981"/>
    </row>
    <row r="60" spans="1:10" x14ac:dyDescent="0.25">
      <c r="A60" s="981" t="s">
        <v>259</v>
      </c>
      <c r="B60" s="981" t="s">
        <v>452</v>
      </c>
      <c r="C60" s="981">
        <v>344</v>
      </c>
      <c r="D60" s="981">
        <v>1674.75</v>
      </c>
      <c r="E60" s="981">
        <v>18</v>
      </c>
      <c r="F60" s="981">
        <v>138.25</v>
      </c>
      <c r="G60" s="981">
        <v>1</v>
      </c>
      <c r="H60" s="981">
        <v>3</v>
      </c>
      <c r="I60" s="981">
        <v>2</v>
      </c>
      <c r="J60" s="981">
        <v>12.5</v>
      </c>
    </row>
    <row r="61" spans="1:10" x14ac:dyDescent="0.25">
      <c r="A61" s="981" t="s">
        <v>259</v>
      </c>
      <c r="B61" s="981" t="s">
        <v>453</v>
      </c>
      <c r="C61" s="981">
        <v>225</v>
      </c>
      <c r="D61" s="981">
        <v>1105.5</v>
      </c>
      <c r="E61" s="981">
        <v>15</v>
      </c>
      <c r="F61" s="981">
        <v>122.25</v>
      </c>
      <c r="G61" s="981"/>
      <c r="H61" s="981"/>
      <c r="I61" s="981"/>
      <c r="J61" s="981"/>
    </row>
    <row r="62" spans="1:10" x14ac:dyDescent="0.25">
      <c r="A62" s="981" t="s">
        <v>259</v>
      </c>
      <c r="B62" s="981" t="s">
        <v>454</v>
      </c>
      <c r="C62" s="981">
        <v>222</v>
      </c>
      <c r="D62" s="981">
        <v>1205.75</v>
      </c>
      <c r="E62" s="981">
        <v>6</v>
      </c>
      <c r="F62" s="981">
        <v>53.25</v>
      </c>
      <c r="G62" s="981"/>
      <c r="H62" s="981"/>
      <c r="I62" s="981"/>
      <c r="J62" s="981"/>
    </row>
    <row r="63" spans="1:10" x14ac:dyDescent="0.25">
      <c r="A63" s="981" t="s">
        <v>259</v>
      </c>
      <c r="B63" s="981" t="s">
        <v>455</v>
      </c>
      <c r="C63" s="981">
        <v>217</v>
      </c>
      <c r="D63" s="981">
        <v>1101.5</v>
      </c>
      <c r="E63" s="981">
        <v>3</v>
      </c>
      <c r="F63" s="981">
        <v>26</v>
      </c>
      <c r="G63" s="981"/>
      <c r="H63" s="981"/>
      <c r="I63" s="981"/>
      <c r="J63" s="981"/>
    </row>
    <row r="64" spans="1:10" x14ac:dyDescent="0.25">
      <c r="A64" s="981" t="s">
        <v>259</v>
      </c>
      <c r="B64" s="981" t="s">
        <v>456</v>
      </c>
      <c r="C64" s="981">
        <v>107</v>
      </c>
      <c r="D64" s="981">
        <v>536.5</v>
      </c>
      <c r="E64" s="981">
        <v>6</v>
      </c>
      <c r="F64" s="981">
        <v>39</v>
      </c>
      <c r="G64" s="981"/>
      <c r="H64" s="981"/>
      <c r="I64" s="981"/>
      <c r="J64" s="981"/>
    </row>
    <row r="65" spans="1:10" x14ac:dyDescent="0.25">
      <c r="A65" s="981" t="s">
        <v>258</v>
      </c>
      <c r="B65" s="981" t="s">
        <v>442</v>
      </c>
      <c r="C65" s="981">
        <v>449</v>
      </c>
      <c r="D65" s="981">
        <v>2244.5</v>
      </c>
      <c r="E65" s="981">
        <v>22</v>
      </c>
      <c r="F65" s="981">
        <v>166.5</v>
      </c>
      <c r="G65" s="981"/>
      <c r="H65" s="981"/>
      <c r="I65" s="981"/>
      <c r="J65" s="981"/>
    </row>
    <row r="66" spans="1:10" x14ac:dyDescent="0.25">
      <c r="A66" s="981" t="s">
        <v>258</v>
      </c>
      <c r="B66" s="981" t="s">
        <v>443</v>
      </c>
      <c r="C66" s="981">
        <v>1731</v>
      </c>
      <c r="D66" s="981">
        <v>9112.75</v>
      </c>
      <c r="E66" s="981">
        <v>44</v>
      </c>
      <c r="F66" s="981">
        <v>463.25</v>
      </c>
      <c r="G66" s="981">
        <v>1</v>
      </c>
      <c r="H66" s="981">
        <v>33.25</v>
      </c>
      <c r="I66" s="981"/>
      <c r="J66" s="981"/>
    </row>
    <row r="67" spans="1:10" x14ac:dyDescent="0.25">
      <c r="A67" s="981" t="s">
        <v>258</v>
      </c>
      <c r="B67" s="981" t="s">
        <v>444</v>
      </c>
      <c r="C67" s="981">
        <v>1804</v>
      </c>
      <c r="D67" s="981">
        <v>6780</v>
      </c>
      <c r="E67" s="981">
        <v>58</v>
      </c>
      <c r="F67" s="981">
        <v>572.5</v>
      </c>
      <c r="G67" s="981">
        <v>5</v>
      </c>
      <c r="H67" s="981">
        <v>167.25</v>
      </c>
      <c r="I67" s="981">
        <v>12</v>
      </c>
      <c r="J67" s="981">
        <v>181.25</v>
      </c>
    </row>
    <row r="68" spans="1:10" x14ac:dyDescent="0.25">
      <c r="A68" s="981" t="s">
        <v>258</v>
      </c>
      <c r="B68" s="981" t="s">
        <v>445</v>
      </c>
      <c r="C68" s="981">
        <v>85</v>
      </c>
      <c r="D68" s="981">
        <v>435.5</v>
      </c>
      <c r="E68" s="981">
        <v>3</v>
      </c>
      <c r="F68" s="981">
        <v>61.25</v>
      </c>
      <c r="G68" s="981">
        <v>1</v>
      </c>
      <c r="H68" s="981">
        <v>38.25</v>
      </c>
      <c r="I68" s="981"/>
      <c r="J68" s="981"/>
    </row>
    <row r="69" spans="1:10" x14ac:dyDescent="0.25">
      <c r="A69" s="981" t="s">
        <v>258</v>
      </c>
      <c r="B69" s="981" t="s">
        <v>446</v>
      </c>
      <c r="C69" s="981">
        <v>921</v>
      </c>
      <c r="D69" s="981">
        <v>5130.75</v>
      </c>
      <c r="E69" s="981">
        <v>109</v>
      </c>
      <c r="F69" s="981">
        <v>1313.75</v>
      </c>
      <c r="G69" s="981">
        <v>5</v>
      </c>
      <c r="H69" s="981">
        <v>154</v>
      </c>
      <c r="I69" s="981">
        <v>4</v>
      </c>
      <c r="J69" s="981">
        <v>34</v>
      </c>
    </row>
    <row r="70" spans="1:10" x14ac:dyDescent="0.25">
      <c r="A70" s="981" t="s">
        <v>258</v>
      </c>
      <c r="B70" s="981" t="s">
        <v>447</v>
      </c>
      <c r="C70" s="981">
        <v>301</v>
      </c>
      <c r="D70" s="981">
        <v>1377.25</v>
      </c>
      <c r="E70" s="981">
        <v>22</v>
      </c>
      <c r="F70" s="981">
        <v>192.75</v>
      </c>
      <c r="G70" s="981"/>
      <c r="H70" s="981"/>
      <c r="I70" s="981"/>
      <c r="J70" s="981"/>
    </row>
    <row r="71" spans="1:10" x14ac:dyDescent="0.25">
      <c r="A71" s="981" t="s">
        <v>258</v>
      </c>
      <c r="B71" s="981" t="s">
        <v>448</v>
      </c>
      <c r="C71" s="981">
        <v>30</v>
      </c>
      <c r="D71" s="981">
        <v>199.75</v>
      </c>
      <c r="E71" s="981">
        <v>1</v>
      </c>
      <c r="F71" s="981">
        <v>11.25</v>
      </c>
      <c r="G71" s="981"/>
      <c r="H71" s="981"/>
      <c r="I71" s="981"/>
      <c r="J71" s="981"/>
    </row>
    <row r="72" spans="1:10" x14ac:dyDescent="0.25">
      <c r="A72" s="981" t="s">
        <v>258</v>
      </c>
      <c r="B72" s="981" t="s">
        <v>449</v>
      </c>
      <c r="C72" s="981">
        <v>59</v>
      </c>
      <c r="D72" s="981">
        <v>321.75</v>
      </c>
      <c r="E72" s="981">
        <v>1</v>
      </c>
      <c r="F72" s="981">
        <v>14</v>
      </c>
      <c r="G72" s="981"/>
      <c r="H72" s="981"/>
      <c r="I72" s="981"/>
      <c r="J72" s="981"/>
    </row>
    <row r="73" spans="1:10" x14ac:dyDescent="0.25">
      <c r="A73" s="981" t="s">
        <v>258</v>
      </c>
      <c r="B73" s="981" t="s">
        <v>450</v>
      </c>
      <c r="C73" s="981">
        <v>329</v>
      </c>
      <c r="D73" s="981">
        <v>1704</v>
      </c>
      <c r="E73" s="981">
        <v>45</v>
      </c>
      <c r="F73" s="981">
        <v>386.75</v>
      </c>
      <c r="G73" s="981">
        <v>5</v>
      </c>
      <c r="H73" s="981">
        <v>80</v>
      </c>
      <c r="I73" s="981"/>
      <c r="J73" s="981"/>
    </row>
    <row r="74" spans="1:10" x14ac:dyDescent="0.25">
      <c r="A74" s="981" t="s">
        <v>258</v>
      </c>
      <c r="B74" s="981" t="s">
        <v>451</v>
      </c>
      <c r="C74" s="981">
        <v>457</v>
      </c>
      <c r="D74" s="981">
        <v>2188.5</v>
      </c>
      <c r="E74" s="981">
        <v>13</v>
      </c>
      <c r="F74" s="981">
        <v>156.75</v>
      </c>
      <c r="G74" s="981"/>
      <c r="H74" s="981"/>
      <c r="I74" s="981"/>
      <c r="J74" s="981"/>
    </row>
    <row r="75" spans="1:10" x14ac:dyDescent="0.25">
      <c r="A75" s="981" t="s">
        <v>258</v>
      </c>
      <c r="B75" s="981" t="s">
        <v>452</v>
      </c>
      <c r="C75" s="981">
        <v>366</v>
      </c>
      <c r="D75" s="981">
        <v>1827.5</v>
      </c>
      <c r="E75" s="981">
        <v>16</v>
      </c>
      <c r="F75" s="981">
        <v>156.5</v>
      </c>
      <c r="G75" s="981">
        <v>3</v>
      </c>
      <c r="H75" s="981">
        <v>45.25</v>
      </c>
      <c r="I75" s="981">
        <v>3</v>
      </c>
      <c r="J75" s="981">
        <v>16</v>
      </c>
    </row>
    <row r="76" spans="1:10" x14ac:dyDescent="0.25">
      <c r="A76" s="981" t="s">
        <v>258</v>
      </c>
      <c r="B76" s="981" t="s">
        <v>453</v>
      </c>
      <c r="C76" s="981">
        <v>273</v>
      </c>
      <c r="D76" s="981">
        <v>1407.5</v>
      </c>
      <c r="E76" s="981">
        <v>10</v>
      </c>
      <c r="F76" s="981">
        <v>106.75</v>
      </c>
      <c r="G76" s="981"/>
      <c r="H76" s="981"/>
      <c r="I76" s="981">
        <v>1</v>
      </c>
      <c r="J76" s="981">
        <v>6.25</v>
      </c>
    </row>
    <row r="77" spans="1:10" x14ac:dyDescent="0.25">
      <c r="A77" s="981" t="s">
        <v>258</v>
      </c>
      <c r="B77" s="981" t="s">
        <v>454</v>
      </c>
      <c r="C77" s="981">
        <v>261</v>
      </c>
      <c r="D77" s="981">
        <v>1459.5</v>
      </c>
      <c r="E77" s="981">
        <v>6</v>
      </c>
      <c r="F77" s="981">
        <v>50.75</v>
      </c>
      <c r="G77" s="981"/>
      <c r="H77" s="981"/>
      <c r="I77" s="981"/>
      <c r="J77" s="981"/>
    </row>
    <row r="78" spans="1:10" x14ac:dyDescent="0.25">
      <c r="A78" s="981" t="s">
        <v>258</v>
      </c>
      <c r="B78" s="981" t="s">
        <v>455</v>
      </c>
      <c r="C78" s="981">
        <v>263</v>
      </c>
      <c r="D78" s="981">
        <v>1314</v>
      </c>
      <c r="E78" s="981">
        <v>4</v>
      </c>
      <c r="F78" s="981">
        <v>38</v>
      </c>
      <c r="G78" s="981"/>
      <c r="H78" s="981"/>
      <c r="I78" s="981"/>
      <c r="J78" s="981"/>
    </row>
    <row r="79" spans="1:10" x14ac:dyDescent="0.25">
      <c r="A79" s="981" t="s">
        <v>258</v>
      </c>
      <c r="B79" s="981" t="s">
        <v>456</v>
      </c>
      <c r="C79" s="981">
        <v>179</v>
      </c>
      <c r="D79" s="981">
        <v>949</v>
      </c>
      <c r="E79" s="981">
        <v>10</v>
      </c>
      <c r="F79" s="981">
        <v>68.5</v>
      </c>
      <c r="G79" s="981">
        <v>1</v>
      </c>
      <c r="H79" s="981"/>
      <c r="I79" s="981"/>
      <c r="J79" s="981"/>
    </row>
  </sheetData>
  <pageMargins left="0.7" right="0.7" top="0.75" bottom="0.75" header="0.3" footer="0.3"/>
  <pageSetup paperSize="9" fitToHeight="5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D9B3FF"/>
    <pageSetUpPr fitToPage="1"/>
  </sheetPr>
  <dimension ref="A1:N46"/>
  <sheetViews>
    <sheetView showGridLines="0" workbookViewId="0">
      <pane ySplit="2" topLeftCell="A3" activePane="bottomLeft" state="frozen"/>
      <selection sqref="A1:C1"/>
      <selection pane="bottomLeft" sqref="A1:I1"/>
    </sheetView>
  </sheetViews>
  <sheetFormatPr defaultRowHeight="15" x14ac:dyDescent="0.25"/>
  <cols>
    <col min="1" max="1" width="17.7109375" customWidth="1"/>
    <col min="2" max="2" width="28.7109375" customWidth="1"/>
    <col min="3" max="9" width="14.5703125" customWidth="1"/>
  </cols>
  <sheetData>
    <row r="1" spans="1:9" ht="15.75" x14ac:dyDescent="0.25">
      <c r="A1" s="993" t="s">
        <v>682</v>
      </c>
      <c r="B1" s="993"/>
      <c r="C1" s="993"/>
      <c r="D1" s="993"/>
      <c r="E1" s="993"/>
      <c r="F1" s="993"/>
      <c r="G1" s="993"/>
      <c r="H1" s="993"/>
      <c r="I1" s="993"/>
    </row>
    <row r="2" spans="1:9" ht="18" x14ac:dyDescent="0.25">
      <c r="A2" s="790" t="s">
        <v>598</v>
      </c>
      <c r="B2" s="1"/>
      <c r="C2" s="1"/>
      <c r="D2" s="1"/>
      <c r="E2" s="1"/>
      <c r="F2" s="1"/>
      <c r="G2" s="1"/>
      <c r="H2" s="1"/>
      <c r="I2" s="1"/>
    </row>
    <row r="3" spans="1:9" ht="18" x14ac:dyDescent="0.25">
      <c r="A3" s="1"/>
      <c r="B3" s="1"/>
      <c r="C3" s="1"/>
      <c r="D3" s="1"/>
      <c r="E3" s="1"/>
      <c r="F3" s="1"/>
      <c r="G3" s="1"/>
      <c r="H3" s="1"/>
      <c r="I3" s="1"/>
    </row>
    <row r="4" spans="1:9" ht="15.75" x14ac:dyDescent="0.25">
      <c r="A4" s="665" t="s">
        <v>687</v>
      </c>
      <c r="B4" s="665"/>
      <c r="C4" s="665"/>
      <c r="D4" s="665"/>
      <c r="E4" s="665"/>
      <c r="F4" s="665"/>
      <c r="G4" s="665"/>
      <c r="H4" s="665"/>
      <c r="I4" s="665"/>
    </row>
    <row r="5" spans="1:9" x14ac:dyDescent="0.25">
      <c r="A5" t="s">
        <v>368</v>
      </c>
      <c r="B5" t="s">
        <v>745</v>
      </c>
    </row>
    <row r="6" spans="1:9" x14ac:dyDescent="0.25">
      <c r="A6" t="s">
        <v>369</v>
      </c>
      <c r="B6" t="s">
        <v>371</v>
      </c>
    </row>
    <row r="7" spans="1:9" x14ac:dyDescent="0.25">
      <c r="A7" t="s">
        <v>370</v>
      </c>
      <c r="B7" t="s">
        <v>372</v>
      </c>
    </row>
    <row r="9" spans="1:9" ht="45" customHeight="1" x14ac:dyDescent="0.25">
      <c r="A9" s="53" t="s">
        <v>534</v>
      </c>
      <c r="B9" s="53" t="s">
        <v>30</v>
      </c>
      <c r="C9" s="262" t="s">
        <v>125</v>
      </c>
      <c r="D9" s="262" t="s">
        <v>192</v>
      </c>
      <c r="E9" s="262" t="s">
        <v>209</v>
      </c>
      <c r="F9" s="262" t="s">
        <v>202</v>
      </c>
      <c r="G9" s="262" t="s">
        <v>223</v>
      </c>
      <c r="H9" s="262" t="s">
        <v>732</v>
      </c>
      <c r="I9" s="262" t="s">
        <v>210</v>
      </c>
    </row>
    <row r="10" spans="1:9" ht="21" customHeight="1" x14ac:dyDescent="0.25">
      <c r="A10" s="581" t="s">
        <v>306</v>
      </c>
      <c r="B10" s="582" t="s">
        <v>31</v>
      </c>
      <c r="C10" s="263">
        <f>h14a!C48</f>
        <v>8</v>
      </c>
      <c r="D10" s="263">
        <f>h14a!D48</f>
        <v>2</v>
      </c>
      <c r="E10" s="263">
        <f>h14a!E48</f>
        <v>1</v>
      </c>
      <c r="F10" s="263">
        <f>h14a!F48</f>
        <v>0</v>
      </c>
      <c r="G10" s="263">
        <f>h14a!G48</f>
        <v>2</v>
      </c>
      <c r="H10" s="263">
        <f>h14a!H48</f>
        <v>6</v>
      </c>
      <c r="I10" s="264">
        <f>h14a!B48</f>
        <v>19</v>
      </c>
    </row>
    <row r="11" spans="1:9" x14ac:dyDescent="0.25">
      <c r="A11" s="110" t="s">
        <v>307</v>
      </c>
      <c r="B11" s="65" t="s">
        <v>32</v>
      </c>
      <c r="C11" s="263">
        <f>h14a!C49</f>
        <v>31</v>
      </c>
      <c r="D11" s="263">
        <f>h14a!D49</f>
        <v>0</v>
      </c>
      <c r="E11" s="263">
        <f>h14a!E49</f>
        <v>0</v>
      </c>
      <c r="F11" s="263">
        <f>h14a!F49</f>
        <v>0</v>
      </c>
      <c r="G11" s="263">
        <f>h14a!G49</f>
        <v>5</v>
      </c>
      <c r="H11" s="263">
        <f>h14a!H49</f>
        <v>1</v>
      </c>
      <c r="I11" s="264">
        <f>h14a!B49</f>
        <v>37</v>
      </c>
    </row>
    <row r="12" spans="1:9" x14ac:dyDescent="0.25">
      <c r="A12" s="110" t="s">
        <v>313</v>
      </c>
      <c r="B12" s="65" t="s">
        <v>33</v>
      </c>
      <c r="C12" s="263">
        <f>h14a!C50</f>
        <v>11</v>
      </c>
      <c r="D12" s="263">
        <f>h14a!D50</f>
        <v>0</v>
      </c>
      <c r="E12" s="263">
        <f>h14a!E50</f>
        <v>0</v>
      </c>
      <c r="F12" s="263">
        <f>h14a!F50</f>
        <v>0</v>
      </c>
      <c r="G12" s="263">
        <f>h14a!G50</f>
        <v>1</v>
      </c>
      <c r="H12" s="263">
        <f>h14a!H50</f>
        <v>1</v>
      </c>
      <c r="I12" s="264">
        <f>h14a!B50</f>
        <v>13</v>
      </c>
    </row>
    <row r="13" spans="1:9" x14ac:dyDescent="0.25">
      <c r="A13" s="110" t="s">
        <v>308</v>
      </c>
      <c r="B13" s="65" t="s">
        <v>34</v>
      </c>
      <c r="C13" s="263">
        <f>h14a!C51</f>
        <v>25</v>
      </c>
      <c r="D13" s="263">
        <f>h14a!D51</f>
        <v>1</v>
      </c>
      <c r="E13" s="263">
        <f>h14a!E51</f>
        <v>1</v>
      </c>
      <c r="F13" s="263">
        <f>h14a!F51</f>
        <v>20</v>
      </c>
      <c r="G13" s="263">
        <f>h14a!G51</f>
        <v>4</v>
      </c>
      <c r="H13" s="263">
        <f>h14a!H51</f>
        <v>0</v>
      </c>
      <c r="I13" s="264">
        <f>h14a!B51</f>
        <v>51</v>
      </c>
    </row>
    <row r="14" spans="1:9" x14ac:dyDescent="0.25">
      <c r="A14" s="110" t="s">
        <v>309</v>
      </c>
      <c r="B14" s="65" t="s">
        <v>262</v>
      </c>
      <c r="C14" s="263">
        <f>h14a!C52</f>
        <v>12</v>
      </c>
      <c r="D14" s="263">
        <f>h14a!D52</f>
        <v>4</v>
      </c>
      <c r="E14" s="263">
        <f>h14a!E52</f>
        <v>2</v>
      </c>
      <c r="F14" s="263">
        <f>h14a!F52</f>
        <v>0</v>
      </c>
      <c r="G14" s="263">
        <f>h14a!G52</f>
        <v>1</v>
      </c>
      <c r="H14" s="263">
        <f>h14a!H52</f>
        <v>6</v>
      </c>
      <c r="I14" s="264">
        <f>h14a!B52</f>
        <v>25</v>
      </c>
    </row>
    <row r="15" spans="1:9" x14ac:dyDescent="0.25">
      <c r="A15" s="110" t="s">
        <v>287</v>
      </c>
      <c r="B15" s="65" t="s">
        <v>35</v>
      </c>
      <c r="C15" s="263">
        <f>h14a!C53</f>
        <v>3</v>
      </c>
      <c r="D15" s="263">
        <f>h14a!D53</f>
        <v>0</v>
      </c>
      <c r="E15" s="263">
        <f>h14a!E53</f>
        <v>1</v>
      </c>
      <c r="F15" s="263">
        <f>h14a!F53</f>
        <v>0</v>
      </c>
      <c r="G15" s="263">
        <f>h14a!G53</f>
        <v>1</v>
      </c>
      <c r="H15" s="263">
        <f>h14a!H53</f>
        <v>0</v>
      </c>
      <c r="I15" s="264">
        <f>h14a!B53</f>
        <v>5</v>
      </c>
    </row>
    <row r="16" spans="1:9" x14ac:dyDescent="0.25">
      <c r="A16" s="110" t="s">
        <v>288</v>
      </c>
      <c r="B16" s="65" t="s">
        <v>36</v>
      </c>
      <c r="C16" s="263">
        <f>h14a!C54</f>
        <v>22</v>
      </c>
      <c r="D16" s="263">
        <f>h14a!D54</f>
        <v>1</v>
      </c>
      <c r="E16" s="263">
        <f>h14a!E54</f>
        <v>3</v>
      </c>
      <c r="F16" s="263">
        <f>h14a!F54</f>
        <v>0</v>
      </c>
      <c r="G16" s="263">
        <f>h14a!G54</f>
        <v>4</v>
      </c>
      <c r="H16" s="263">
        <f>h14a!H54</f>
        <v>0</v>
      </c>
      <c r="I16" s="264">
        <f>h14a!B54</f>
        <v>30</v>
      </c>
    </row>
    <row r="17" spans="1:9" x14ac:dyDescent="0.25">
      <c r="A17" s="110" t="s">
        <v>314</v>
      </c>
      <c r="B17" s="65" t="s">
        <v>37</v>
      </c>
      <c r="C17" s="263">
        <f>h14a!C55</f>
        <v>7</v>
      </c>
      <c r="D17" s="263">
        <f>h14a!D55</f>
        <v>2</v>
      </c>
      <c r="E17" s="263">
        <f>h14a!E55</f>
        <v>1</v>
      </c>
      <c r="F17" s="263">
        <f>h14a!F55</f>
        <v>0</v>
      </c>
      <c r="G17" s="263">
        <f>h14a!G55</f>
        <v>2</v>
      </c>
      <c r="H17" s="263">
        <f>h14a!H55</f>
        <v>8</v>
      </c>
      <c r="I17" s="264">
        <f>h14a!B55</f>
        <v>20</v>
      </c>
    </row>
    <row r="18" spans="1:9" x14ac:dyDescent="0.25">
      <c r="A18" s="110" t="s">
        <v>289</v>
      </c>
      <c r="B18" s="65" t="s">
        <v>38</v>
      </c>
      <c r="C18" s="263">
        <f>h14a!C56</f>
        <v>9</v>
      </c>
      <c r="D18" s="263">
        <f>h14a!D56</f>
        <v>1</v>
      </c>
      <c r="E18" s="263">
        <f>h14a!E56</f>
        <v>0</v>
      </c>
      <c r="F18" s="263">
        <f>h14a!F56</f>
        <v>0</v>
      </c>
      <c r="G18" s="263">
        <f>h14a!G56</f>
        <v>0</v>
      </c>
      <c r="H18" s="263">
        <f>h14a!H56</f>
        <v>1</v>
      </c>
      <c r="I18" s="264">
        <f>h14a!B56</f>
        <v>11</v>
      </c>
    </row>
    <row r="19" spans="1:9" x14ac:dyDescent="0.25">
      <c r="A19" s="110" t="s">
        <v>316</v>
      </c>
      <c r="B19" s="65" t="s">
        <v>39</v>
      </c>
      <c r="C19" s="263">
        <f>h14a!C57</f>
        <v>3</v>
      </c>
      <c r="D19" s="263">
        <f>h14a!D57</f>
        <v>0</v>
      </c>
      <c r="E19" s="263">
        <f>h14a!E57</f>
        <v>0</v>
      </c>
      <c r="F19" s="263">
        <f>h14a!F57</f>
        <v>0</v>
      </c>
      <c r="G19" s="263">
        <f>h14a!G57</f>
        <v>0</v>
      </c>
      <c r="H19" s="263">
        <f>h14a!H57</f>
        <v>2</v>
      </c>
      <c r="I19" s="264">
        <f>h14a!B57</f>
        <v>5</v>
      </c>
    </row>
    <row r="20" spans="1:9" x14ac:dyDescent="0.25">
      <c r="A20" s="110" t="s">
        <v>290</v>
      </c>
      <c r="B20" s="65" t="s">
        <v>40</v>
      </c>
      <c r="C20" s="263">
        <f>h14a!C58</f>
        <v>9</v>
      </c>
      <c r="D20" s="263">
        <f>h14a!D58</f>
        <v>0</v>
      </c>
      <c r="E20" s="263">
        <f>h14a!E58</f>
        <v>0</v>
      </c>
      <c r="F20" s="263">
        <f>h14a!F58</f>
        <v>0</v>
      </c>
      <c r="G20" s="263">
        <f>h14a!G58</f>
        <v>0</v>
      </c>
      <c r="H20" s="263">
        <f>h14a!H58</f>
        <v>0</v>
      </c>
      <c r="I20" s="264">
        <f>h14a!B58</f>
        <v>9</v>
      </c>
    </row>
    <row r="21" spans="1:9" x14ac:dyDescent="0.25">
      <c r="A21" s="110" t="s">
        <v>291</v>
      </c>
      <c r="B21" s="65" t="s">
        <v>41</v>
      </c>
      <c r="C21" s="263">
        <f>h14a!C59</f>
        <v>2</v>
      </c>
      <c r="D21" s="263">
        <f>h14a!D59</f>
        <v>0</v>
      </c>
      <c r="E21" s="263">
        <f>h14a!E59</f>
        <v>0</v>
      </c>
      <c r="F21" s="263">
        <f>h14a!F59</f>
        <v>0</v>
      </c>
      <c r="G21" s="263">
        <f>h14a!G59</f>
        <v>0</v>
      </c>
      <c r="H21" s="263">
        <f>h14a!H59</f>
        <v>0</v>
      </c>
      <c r="I21" s="264">
        <f>h14a!B59</f>
        <v>2</v>
      </c>
    </row>
    <row r="22" spans="1:9" x14ac:dyDescent="0.25">
      <c r="A22" s="110" t="s">
        <v>293</v>
      </c>
      <c r="B22" s="65" t="s">
        <v>42</v>
      </c>
      <c r="C22" s="263">
        <f>h14a!C60</f>
        <v>10</v>
      </c>
      <c r="D22" s="263">
        <f>h14a!D60</f>
        <v>1</v>
      </c>
      <c r="E22" s="263">
        <f>h14a!E60</f>
        <v>0</v>
      </c>
      <c r="F22" s="263">
        <f>h14a!F60</f>
        <v>0</v>
      </c>
      <c r="G22" s="263">
        <f>h14a!G60</f>
        <v>4</v>
      </c>
      <c r="H22" s="263">
        <f>h14a!H60</f>
        <v>2</v>
      </c>
      <c r="I22" s="264">
        <f>h14a!B60</f>
        <v>17</v>
      </c>
    </row>
    <row r="23" spans="1:9" x14ac:dyDescent="0.25">
      <c r="A23" s="110" t="s">
        <v>318</v>
      </c>
      <c r="B23" s="65" t="s">
        <v>43</v>
      </c>
      <c r="C23" s="263">
        <f>h14a!C61</f>
        <v>21</v>
      </c>
      <c r="D23" s="263">
        <f>h14a!D61</f>
        <v>2</v>
      </c>
      <c r="E23" s="263">
        <f>h14a!E61</f>
        <v>1</v>
      </c>
      <c r="F23" s="263">
        <f>h14a!F61</f>
        <v>0</v>
      </c>
      <c r="G23" s="263">
        <f>h14a!G61</f>
        <v>5</v>
      </c>
      <c r="H23" s="263">
        <f>h14a!H61</f>
        <v>2</v>
      </c>
      <c r="I23" s="264">
        <f>h14a!B61</f>
        <v>31</v>
      </c>
    </row>
    <row r="24" spans="1:9" x14ac:dyDescent="0.25">
      <c r="A24" s="110" t="s">
        <v>317</v>
      </c>
      <c r="B24" s="65" t="s">
        <v>124</v>
      </c>
      <c r="C24" s="263">
        <f>h14a!C62</f>
        <v>18</v>
      </c>
      <c r="D24" s="263">
        <f>h14a!D62</f>
        <v>4</v>
      </c>
      <c r="E24" s="263">
        <f>h14a!E62</f>
        <v>3</v>
      </c>
      <c r="F24" s="263">
        <f>h14a!F62</f>
        <v>0</v>
      </c>
      <c r="G24" s="263">
        <f>h14a!G62</f>
        <v>3</v>
      </c>
      <c r="H24" s="263">
        <f>h14a!H62</f>
        <v>0</v>
      </c>
      <c r="I24" s="264">
        <f>h14a!B62</f>
        <v>28</v>
      </c>
    </row>
    <row r="25" spans="1:9" x14ac:dyDescent="0.25">
      <c r="A25" s="110" t="s">
        <v>294</v>
      </c>
      <c r="B25" s="65" t="s">
        <v>44</v>
      </c>
      <c r="C25" s="263">
        <f>h14a!C63</f>
        <v>68</v>
      </c>
      <c r="D25" s="263">
        <f>h14a!D63</f>
        <v>1</v>
      </c>
      <c r="E25" s="263">
        <f>h14a!E63</f>
        <v>2</v>
      </c>
      <c r="F25" s="263">
        <f>h14a!F63</f>
        <v>8</v>
      </c>
      <c r="G25" s="263">
        <f>h14a!G63</f>
        <v>5</v>
      </c>
      <c r="H25" s="263">
        <f>h14a!H63</f>
        <v>4</v>
      </c>
      <c r="I25" s="264">
        <f>h14a!B63</f>
        <v>88</v>
      </c>
    </row>
    <row r="26" spans="1:9" x14ac:dyDescent="0.25">
      <c r="A26" s="110" t="s">
        <v>295</v>
      </c>
      <c r="B26" s="65" t="s">
        <v>45</v>
      </c>
      <c r="C26" s="263">
        <f>h14a!C64</f>
        <v>7</v>
      </c>
      <c r="D26" s="263">
        <f>h14a!D64</f>
        <v>1</v>
      </c>
      <c r="E26" s="263">
        <f>h14a!E64</f>
        <v>0</v>
      </c>
      <c r="F26" s="263">
        <f>h14a!F64</f>
        <v>0</v>
      </c>
      <c r="G26" s="263">
        <f>h14a!G64</f>
        <v>0</v>
      </c>
      <c r="H26" s="263">
        <f>h14a!H64</f>
        <v>0</v>
      </c>
      <c r="I26" s="264">
        <f>h14a!B64</f>
        <v>8</v>
      </c>
    </row>
    <row r="27" spans="1:9" x14ac:dyDescent="0.25">
      <c r="A27" s="110" t="s">
        <v>296</v>
      </c>
      <c r="B27" s="65" t="s">
        <v>46</v>
      </c>
      <c r="C27" s="263">
        <f>h14a!C65</f>
        <v>2</v>
      </c>
      <c r="D27" s="263">
        <f>h14a!D65</f>
        <v>0</v>
      </c>
      <c r="E27" s="263">
        <f>h14a!E65</f>
        <v>0</v>
      </c>
      <c r="F27" s="263">
        <f>h14a!F65</f>
        <v>0</v>
      </c>
      <c r="G27" s="263">
        <f>h14a!G65</f>
        <v>1</v>
      </c>
      <c r="H27" s="263">
        <f>h14a!H65</f>
        <v>0</v>
      </c>
      <c r="I27" s="264">
        <f>h14a!B65</f>
        <v>3</v>
      </c>
    </row>
    <row r="28" spans="1:9" x14ac:dyDescent="0.25">
      <c r="A28" s="110" t="s">
        <v>297</v>
      </c>
      <c r="B28" s="65" t="s">
        <v>47</v>
      </c>
      <c r="C28" s="263">
        <f>h14a!C66</f>
        <v>13</v>
      </c>
      <c r="D28" s="263">
        <f>h14a!D66</f>
        <v>0</v>
      </c>
      <c r="E28" s="263">
        <f>h14a!E66</f>
        <v>0</v>
      </c>
      <c r="F28" s="263">
        <f>h14a!F66</f>
        <v>2</v>
      </c>
      <c r="G28" s="263">
        <f>h14a!G66</f>
        <v>3</v>
      </c>
      <c r="H28" s="263">
        <f>h14a!H66</f>
        <v>1</v>
      </c>
      <c r="I28" s="264">
        <f>h14a!B66</f>
        <v>19</v>
      </c>
    </row>
    <row r="29" spans="1:9" x14ac:dyDescent="0.25">
      <c r="A29" s="110" t="s">
        <v>292</v>
      </c>
      <c r="B29" s="65" t="s">
        <v>48</v>
      </c>
      <c r="C29" s="263">
        <f>h14a!C67</f>
        <v>17</v>
      </c>
      <c r="D29" s="263">
        <f>h14a!D67</f>
        <v>0</v>
      </c>
      <c r="E29" s="263">
        <f>h14a!E67</f>
        <v>0</v>
      </c>
      <c r="F29" s="263">
        <f>h14a!F67</f>
        <v>1</v>
      </c>
      <c r="G29" s="263">
        <f>h14a!G67</f>
        <v>0</v>
      </c>
      <c r="H29" s="263">
        <f>h14a!H67</f>
        <v>0</v>
      </c>
      <c r="I29" s="264">
        <f>h14a!B67</f>
        <v>18</v>
      </c>
    </row>
    <row r="30" spans="1:9" x14ac:dyDescent="0.25">
      <c r="A30" s="110" t="s">
        <v>298</v>
      </c>
      <c r="B30" s="65" t="s">
        <v>49</v>
      </c>
      <c r="C30" s="263">
        <f>h14a!C68</f>
        <v>16</v>
      </c>
      <c r="D30" s="263">
        <f>h14a!D68</f>
        <v>0</v>
      </c>
      <c r="E30" s="263">
        <f>h14a!E68</f>
        <v>0</v>
      </c>
      <c r="F30" s="263">
        <f>h14a!F68</f>
        <v>1</v>
      </c>
      <c r="G30" s="263">
        <f>h14a!G68</f>
        <v>2</v>
      </c>
      <c r="H30" s="263">
        <f>h14a!H68</f>
        <v>1</v>
      </c>
      <c r="I30" s="264">
        <f>h14a!B68</f>
        <v>20</v>
      </c>
    </row>
    <row r="31" spans="1:9" x14ac:dyDescent="0.25">
      <c r="A31" s="110" t="s">
        <v>315</v>
      </c>
      <c r="B31" s="65" t="s">
        <v>50</v>
      </c>
      <c r="C31" s="263">
        <f>h14a!C69</f>
        <v>8</v>
      </c>
      <c r="D31" s="263">
        <f>h14a!D69</f>
        <v>2</v>
      </c>
      <c r="E31" s="263">
        <f>h14a!E69</f>
        <v>1</v>
      </c>
      <c r="F31" s="263">
        <f>h14a!F69</f>
        <v>0</v>
      </c>
      <c r="G31" s="263">
        <f>h14a!G69</f>
        <v>2</v>
      </c>
      <c r="H31" s="263">
        <f>h14a!H69</f>
        <v>2</v>
      </c>
      <c r="I31" s="264">
        <f>h14a!B69</f>
        <v>15</v>
      </c>
    </row>
    <row r="32" spans="1:9" x14ac:dyDescent="0.25">
      <c r="A32" s="110" t="s">
        <v>299</v>
      </c>
      <c r="B32" s="65" t="s">
        <v>51</v>
      </c>
      <c r="C32" s="263">
        <f>h14a!C70</f>
        <v>14</v>
      </c>
      <c r="D32" s="263">
        <f>h14a!D70</f>
        <v>0</v>
      </c>
      <c r="E32" s="263">
        <f>h14a!E70</f>
        <v>0</v>
      </c>
      <c r="F32" s="263">
        <f>h14a!F70</f>
        <v>1</v>
      </c>
      <c r="G32" s="263">
        <f>h14a!G70</f>
        <v>0</v>
      </c>
      <c r="H32" s="263">
        <f>h14a!H70</f>
        <v>0</v>
      </c>
      <c r="I32" s="264">
        <f>h14a!B70</f>
        <v>15</v>
      </c>
    </row>
    <row r="33" spans="1:14" x14ac:dyDescent="0.25">
      <c r="A33" s="110" t="s">
        <v>300</v>
      </c>
      <c r="B33" s="65" t="s">
        <v>52</v>
      </c>
      <c r="C33" s="263">
        <f>h14a!C71</f>
        <v>16</v>
      </c>
      <c r="D33" s="263">
        <f>h14a!D71</f>
        <v>1</v>
      </c>
      <c r="E33" s="263">
        <f>h14a!E71</f>
        <v>1</v>
      </c>
      <c r="F33" s="263">
        <f>h14a!F71</f>
        <v>3</v>
      </c>
      <c r="G33" s="263">
        <f>h14a!G71</f>
        <v>0</v>
      </c>
      <c r="H33" s="263">
        <f>h14a!H71</f>
        <v>2</v>
      </c>
      <c r="I33" s="264">
        <f>h14a!B71</f>
        <v>23</v>
      </c>
    </row>
    <row r="34" spans="1:14" x14ac:dyDescent="0.25">
      <c r="A34" s="110" t="s">
        <v>310</v>
      </c>
      <c r="B34" s="65" t="s">
        <v>53</v>
      </c>
      <c r="C34" s="263">
        <f>h14a!C72</f>
        <v>4</v>
      </c>
      <c r="D34" s="263">
        <f>h14a!D72</f>
        <v>2</v>
      </c>
      <c r="E34" s="263">
        <f>h14a!E72</f>
        <v>0</v>
      </c>
      <c r="F34" s="263">
        <f>h14a!F72</f>
        <v>0</v>
      </c>
      <c r="G34" s="263">
        <f>h14a!G72</f>
        <v>4</v>
      </c>
      <c r="H34" s="263">
        <f>h14a!H72</f>
        <v>0</v>
      </c>
      <c r="I34" s="264">
        <f>h14a!B72</f>
        <v>10</v>
      </c>
    </row>
    <row r="35" spans="1:14" x14ac:dyDescent="0.25">
      <c r="A35" s="110" t="s">
        <v>301</v>
      </c>
      <c r="B35" s="65" t="s">
        <v>54</v>
      </c>
      <c r="C35" s="263">
        <f>h14a!C73</f>
        <v>17</v>
      </c>
      <c r="D35" s="263">
        <f>h14a!D73</f>
        <v>0</v>
      </c>
      <c r="E35" s="263">
        <f>h14a!E73</f>
        <v>2</v>
      </c>
      <c r="F35" s="263">
        <f>h14a!F73</f>
        <v>0</v>
      </c>
      <c r="G35" s="263">
        <f>h14a!G73</f>
        <v>1</v>
      </c>
      <c r="H35" s="263">
        <f>h14a!H73</f>
        <v>0</v>
      </c>
      <c r="I35" s="264">
        <f>h14a!B73</f>
        <v>20</v>
      </c>
    </row>
    <row r="36" spans="1:14" x14ac:dyDescent="0.25">
      <c r="A36" s="110" t="s">
        <v>302</v>
      </c>
      <c r="B36" s="65" t="s">
        <v>55</v>
      </c>
      <c r="C36" s="263">
        <f>h14a!C74</f>
        <v>16</v>
      </c>
      <c r="D36" s="263">
        <f>h14a!D74</f>
        <v>0</v>
      </c>
      <c r="E36" s="263">
        <f>h14a!E74</f>
        <v>0</v>
      </c>
      <c r="F36" s="263">
        <f>h14a!F74</f>
        <v>1</v>
      </c>
      <c r="G36" s="263">
        <f>h14a!G74</f>
        <v>1</v>
      </c>
      <c r="H36" s="263">
        <f>h14a!H74</f>
        <v>0</v>
      </c>
      <c r="I36" s="264">
        <f>h14a!B74</f>
        <v>18</v>
      </c>
    </row>
    <row r="37" spans="1:14" x14ac:dyDescent="0.25">
      <c r="A37" s="110" t="s">
        <v>303</v>
      </c>
      <c r="B37" s="65" t="s">
        <v>56</v>
      </c>
      <c r="C37" s="263">
        <f>h14a!C75</f>
        <v>7</v>
      </c>
      <c r="D37" s="263">
        <f>h14a!D75</f>
        <v>1</v>
      </c>
      <c r="E37" s="263">
        <f>h14a!E75</f>
        <v>1</v>
      </c>
      <c r="F37" s="263">
        <f>h14a!F75</f>
        <v>0</v>
      </c>
      <c r="G37" s="263">
        <f>h14a!G75</f>
        <v>0</v>
      </c>
      <c r="H37" s="263">
        <f>h14a!H75</f>
        <v>0</v>
      </c>
      <c r="I37" s="264">
        <f>h14a!B75</f>
        <v>9</v>
      </c>
    </row>
    <row r="38" spans="1:14" x14ac:dyDescent="0.25">
      <c r="A38" s="110" t="s">
        <v>304</v>
      </c>
      <c r="B38" s="65" t="s">
        <v>57</v>
      </c>
      <c r="C38" s="263">
        <f>h14a!C76</f>
        <v>14</v>
      </c>
      <c r="D38" s="263">
        <f>h14a!D76</f>
        <v>1</v>
      </c>
      <c r="E38" s="263">
        <f>h14a!E76</f>
        <v>2</v>
      </c>
      <c r="F38" s="263">
        <f>h14a!F76</f>
        <v>0</v>
      </c>
      <c r="G38" s="263">
        <f>h14a!G76</f>
        <v>6</v>
      </c>
      <c r="H38" s="263">
        <f>h14a!H76</f>
        <v>1</v>
      </c>
      <c r="I38" s="264">
        <f>h14a!B76</f>
        <v>24</v>
      </c>
    </row>
    <row r="39" spans="1:14" x14ac:dyDescent="0.25">
      <c r="A39" s="110" t="s">
        <v>305</v>
      </c>
      <c r="B39" s="65" t="s">
        <v>58</v>
      </c>
      <c r="C39" s="263">
        <f>h14a!C77</f>
        <v>9</v>
      </c>
      <c r="D39" s="263">
        <f>h14a!D77</f>
        <v>0</v>
      </c>
      <c r="E39" s="263">
        <f>h14a!E77</f>
        <v>1</v>
      </c>
      <c r="F39" s="263">
        <f>h14a!F77</f>
        <v>2</v>
      </c>
      <c r="G39" s="263">
        <f>h14a!G77</f>
        <v>3</v>
      </c>
      <c r="H39" s="263">
        <f>h14a!H77</f>
        <v>0</v>
      </c>
      <c r="I39" s="264">
        <f>h14a!B77</f>
        <v>15</v>
      </c>
    </row>
    <row r="40" spans="1:14" x14ac:dyDescent="0.25">
      <c r="A40" s="110" t="s">
        <v>311</v>
      </c>
      <c r="B40" s="65" t="s">
        <v>59</v>
      </c>
      <c r="C40" s="263">
        <f>h14a!C78</f>
        <v>4</v>
      </c>
      <c r="D40" s="263">
        <f>h14a!D78</f>
        <v>1</v>
      </c>
      <c r="E40" s="263">
        <f>h14a!E78</f>
        <v>0</v>
      </c>
      <c r="F40" s="263">
        <f>h14a!F78</f>
        <v>0</v>
      </c>
      <c r="G40" s="263">
        <f>h14a!G78</f>
        <v>1</v>
      </c>
      <c r="H40" s="263">
        <f>h14a!H78</f>
        <v>1</v>
      </c>
      <c r="I40" s="264">
        <f>h14a!B78</f>
        <v>7</v>
      </c>
    </row>
    <row r="41" spans="1:14" x14ac:dyDescent="0.25">
      <c r="A41" s="110" t="s">
        <v>312</v>
      </c>
      <c r="B41" s="65" t="s">
        <v>60</v>
      </c>
      <c r="C41" s="263">
        <f>h14a!C79</f>
        <v>8</v>
      </c>
      <c r="D41" s="263">
        <f>h14a!D79</f>
        <v>0</v>
      </c>
      <c r="E41" s="263">
        <f>h14a!E79</f>
        <v>2</v>
      </c>
      <c r="F41" s="263">
        <f>h14a!F79</f>
        <v>0</v>
      </c>
      <c r="G41" s="263">
        <f>h14a!G79</f>
        <v>1</v>
      </c>
      <c r="H41" s="263">
        <f>h14a!H79</f>
        <v>1</v>
      </c>
      <c r="I41" s="264">
        <f>h14a!B79</f>
        <v>12</v>
      </c>
    </row>
    <row r="42" spans="1:14" ht="24.75" customHeight="1" thickBot="1" x14ac:dyDescent="0.3">
      <c r="A42" s="265"/>
      <c r="B42" s="265" t="s">
        <v>882</v>
      </c>
      <c r="C42" s="481">
        <f t="shared" ref="C42:H42" si="0">SUM(C10:C41)</f>
        <v>431</v>
      </c>
      <c r="D42" s="481">
        <f t="shared" si="0"/>
        <v>28</v>
      </c>
      <c r="E42" s="481">
        <f t="shared" si="0"/>
        <v>25</v>
      </c>
      <c r="F42" s="481">
        <f t="shared" si="0"/>
        <v>39</v>
      </c>
      <c r="G42" s="481">
        <f t="shared" si="0"/>
        <v>62</v>
      </c>
      <c r="H42" s="481">
        <f t="shared" si="0"/>
        <v>42</v>
      </c>
      <c r="I42" s="481">
        <f>SUM(I10:I41)</f>
        <v>627</v>
      </c>
    </row>
    <row r="43" spans="1:14" x14ac:dyDescent="0.25">
      <c r="B43" s="6"/>
      <c r="C43" s="266"/>
      <c r="D43" s="266"/>
      <c r="E43" s="266"/>
      <c r="F43" s="266"/>
      <c r="G43" s="266"/>
      <c r="H43" s="266"/>
      <c r="I43" s="267"/>
    </row>
    <row r="44" spans="1:14" x14ac:dyDescent="0.25">
      <c r="A44" s="438" t="s">
        <v>8</v>
      </c>
      <c r="I44" s="182"/>
    </row>
    <row r="45" spans="1:14" x14ac:dyDescent="0.25">
      <c r="A45" s="685" t="s">
        <v>242</v>
      </c>
      <c r="I45" s="182"/>
    </row>
    <row r="46" spans="1:14" x14ac:dyDescent="0.25">
      <c r="A46" s="570"/>
      <c r="B46" s="965"/>
      <c r="C46" s="965"/>
      <c r="D46" s="965"/>
      <c r="E46" s="965"/>
      <c r="F46" s="965"/>
      <c r="G46" s="965"/>
      <c r="H46" s="965"/>
      <c r="I46" s="965"/>
      <c r="J46" s="965"/>
      <c r="K46" s="965"/>
      <c r="L46" s="965"/>
      <c r="M46" s="965"/>
      <c r="N46" s="965"/>
    </row>
  </sheetData>
  <sheetProtection algorithmName="SHA-512" hashValue="+PlnXk35L/FiivQoWrYaji8ZmD9rPLCSzWMpXvn7PXvO0bl206p0evM7hQ5pdkeeWUFcDEEyJALGNXlspNTSgw==" saltValue="6lRpMX6l35o3bFniJsyvfQ==" spinCount="100000" sheet="1" scenarios="1" pivotTables="0"/>
  <mergeCells count="1">
    <mergeCell ref="A1:I1"/>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68" fitToHeight="0" orientation="portrait" r:id="rId1"/>
  <colBreaks count="1" manualBreakCount="1">
    <brk id="7" max="1048575" man="1"/>
  </colBreaks>
  <drawing r:id="rId2"/>
  <extLst>
    <ext xmlns:x14="http://schemas.microsoft.com/office/spreadsheetml/2009/9/main" uri="{A8765BA9-456A-4dab-B4F3-ACF838C121DE}">
      <x14:slicerList>
        <x14:slicer r:id="rId3"/>
      </x14:slicerList>
    </ext>
  </extLs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pageSetUpPr fitToPage="1"/>
  </sheetPr>
  <dimension ref="A4:K164"/>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11" x14ac:dyDescent="0.25">
      <c r="A4" s="980" t="s">
        <v>334</v>
      </c>
      <c r="B4" s="980" t="s">
        <v>883</v>
      </c>
      <c r="C4" s="980" t="s">
        <v>1033</v>
      </c>
      <c r="D4" s="980" t="s">
        <v>1049</v>
      </c>
      <c r="E4" s="980" t="s">
        <v>1050</v>
      </c>
      <c r="F4" s="980" t="s">
        <v>1051</v>
      </c>
      <c r="G4" s="980" t="s">
        <v>1052</v>
      </c>
      <c r="H4" s="980" t="s">
        <v>1053</v>
      </c>
      <c r="I4" s="980" t="s">
        <v>1054</v>
      </c>
      <c r="J4" s="980" t="s">
        <v>1055</v>
      </c>
      <c r="K4" s="980" t="s">
        <v>1056</v>
      </c>
    </row>
    <row r="5" spans="1:11" x14ac:dyDescent="0.25">
      <c r="A5" s="981" t="s">
        <v>206</v>
      </c>
      <c r="B5" s="981" t="s">
        <v>31</v>
      </c>
      <c r="C5" s="981" t="s">
        <v>306</v>
      </c>
      <c r="D5" s="981">
        <v>356</v>
      </c>
      <c r="E5" s="981">
        <v>1936.75</v>
      </c>
      <c r="F5" s="981">
        <v>13</v>
      </c>
      <c r="G5" s="981">
        <v>138.5</v>
      </c>
      <c r="H5" s="981">
        <v>2</v>
      </c>
      <c r="I5" s="981">
        <v>19.25</v>
      </c>
      <c r="J5" s="981"/>
      <c r="K5" s="981"/>
    </row>
    <row r="6" spans="1:11" x14ac:dyDescent="0.25">
      <c r="A6" s="981" t="s">
        <v>206</v>
      </c>
      <c r="B6" s="981" t="s">
        <v>32</v>
      </c>
      <c r="C6" s="981" t="s">
        <v>307</v>
      </c>
      <c r="D6" s="981">
        <v>252</v>
      </c>
      <c r="E6" s="981">
        <v>1725.5</v>
      </c>
      <c r="F6" s="981">
        <v>15</v>
      </c>
      <c r="G6" s="981">
        <v>162</v>
      </c>
      <c r="H6" s="981">
        <v>1</v>
      </c>
      <c r="I6" s="981">
        <v>38</v>
      </c>
      <c r="J6" s="981">
        <v>1</v>
      </c>
      <c r="K6" s="981">
        <v>7.5</v>
      </c>
    </row>
    <row r="7" spans="1:11" x14ac:dyDescent="0.25">
      <c r="A7" s="981" t="s">
        <v>206</v>
      </c>
      <c r="B7" s="981" t="s">
        <v>33</v>
      </c>
      <c r="C7" s="981" t="s">
        <v>313</v>
      </c>
      <c r="D7" s="981">
        <v>202</v>
      </c>
      <c r="E7" s="981">
        <v>853.5</v>
      </c>
      <c r="F7" s="981">
        <v>4</v>
      </c>
      <c r="G7" s="981">
        <v>21.75</v>
      </c>
      <c r="H7" s="981"/>
      <c r="I7" s="981"/>
      <c r="J7" s="981"/>
      <c r="K7" s="981"/>
    </row>
    <row r="8" spans="1:11" x14ac:dyDescent="0.25">
      <c r="A8" s="981" t="s">
        <v>206</v>
      </c>
      <c r="B8" s="981" t="s">
        <v>34</v>
      </c>
      <c r="C8" s="981" t="s">
        <v>308</v>
      </c>
      <c r="D8" s="981">
        <v>250</v>
      </c>
      <c r="E8" s="981">
        <v>1985.5</v>
      </c>
      <c r="F8" s="981">
        <v>3</v>
      </c>
      <c r="G8" s="981">
        <v>38.5</v>
      </c>
      <c r="H8" s="981"/>
      <c r="I8" s="981"/>
      <c r="J8" s="981"/>
      <c r="K8" s="981"/>
    </row>
    <row r="9" spans="1:11" x14ac:dyDescent="0.25">
      <c r="A9" s="981" t="s">
        <v>206</v>
      </c>
      <c r="B9" s="981" t="s">
        <v>262</v>
      </c>
      <c r="C9" s="981" t="s">
        <v>309</v>
      </c>
      <c r="D9" s="981">
        <v>903</v>
      </c>
      <c r="E9" s="981">
        <v>3293.5</v>
      </c>
      <c r="F9" s="981">
        <v>53</v>
      </c>
      <c r="G9" s="981">
        <v>292</v>
      </c>
      <c r="H9" s="981">
        <v>1</v>
      </c>
      <c r="I9" s="981">
        <v>5.5</v>
      </c>
      <c r="J9" s="981"/>
      <c r="K9" s="981"/>
    </row>
    <row r="10" spans="1:11" x14ac:dyDescent="0.25">
      <c r="A10" s="981" t="s">
        <v>206</v>
      </c>
      <c r="B10" s="981" t="s">
        <v>35</v>
      </c>
      <c r="C10" s="981" t="s">
        <v>287</v>
      </c>
      <c r="D10" s="981">
        <v>42</v>
      </c>
      <c r="E10" s="981">
        <v>247.25</v>
      </c>
      <c r="F10" s="981">
        <v>2</v>
      </c>
      <c r="G10" s="981">
        <v>16</v>
      </c>
      <c r="H10" s="981"/>
      <c r="I10" s="981"/>
      <c r="J10" s="981"/>
      <c r="K10" s="981"/>
    </row>
    <row r="11" spans="1:11" x14ac:dyDescent="0.25">
      <c r="A11" s="981" t="s">
        <v>206</v>
      </c>
      <c r="B11" s="981" t="s">
        <v>36</v>
      </c>
      <c r="C11" s="981" t="s">
        <v>288</v>
      </c>
      <c r="D11" s="981">
        <v>177</v>
      </c>
      <c r="E11" s="981">
        <v>785.25</v>
      </c>
      <c r="F11" s="981">
        <v>36</v>
      </c>
      <c r="G11" s="981">
        <v>306.5</v>
      </c>
      <c r="H11" s="981"/>
      <c r="I11" s="981"/>
      <c r="J11" s="981">
        <v>1</v>
      </c>
      <c r="K11" s="981">
        <v>12.5</v>
      </c>
    </row>
    <row r="12" spans="1:11" x14ac:dyDescent="0.25">
      <c r="A12" s="981" t="s">
        <v>206</v>
      </c>
      <c r="B12" s="981" t="s">
        <v>37</v>
      </c>
      <c r="C12" s="981" t="s">
        <v>314</v>
      </c>
      <c r="D12" s="981">
        <v>456</v>
      </c>
      <c r="E12" s="981">
        <v>1804.75</v>
      </c>
      <c r="F12" s="981">
        <v>4</v>
      </c>
      <c r="G12" s="981">
        <v>13.5</v>
      </c>
      <c r="H12" s="981"/>
      <c r="I12" s="981"/>
      <c r="J12" s="981"/>
      <c r="K12" s="981"/>
    </row>
    <row r="13" spans="1:11" x14ac:dyDescent="0.25">
      <c r="A13" s="981" t="s">
        <v>206</v>
      </c>
      <c r="B13" s="981" t="s">
        <v>38</v>
      </c>
      <c r="C13" s="981" t="s">
        <v>289</v>
      </c>
      <c r="D13" s="981">
        <v>142</v>
      </c>
      <c r="E13" s="981">
        <v>914.75</v>
      </c>
      <c r="F13" s="981">
        <v>11</v>
      </c>
      <c r="G13" s="981">
        <v>90.75</v>
      </c>
      <c r="H13" s="981"/>
      <c r="I13" s="981"/>
      <c r="J13" s="981"/>
      <c r="K13" s="981"/>
    </row>
    <row r="14" spans="1:11" x14ac:dyDescent="0.25">
      <c r="A14" s="981" t="s">
        <v>206</v>
      </c>
      <c r="B14" s="981" t="s">
        <v>39</v>
      </c>
      <c r="C14" s="981" t="s">
        <v>316</v>
      </c>
      <c r="D14" s="981">
        <v>53</v>
      </c>
      <c r="E14" s="981">
        <v>362.75</v>
      </c>
      <c r="F14" s="981">
        <v>1</v>
      </c>
      <c r="G14" s="981">
        <v>7.5</v>
      </c>
      <c r="H14" s="981"/>
      <c r="I14" s="981"/>
      <c r="J14" s="981"/>
      <c r="K14" s="981"/>
    </row>
    <row r="15" spans="1:11" x14ac:dyDescent="0.25">
      <c r="A15" s="981" t="s">
        <v>206</v>
      </c>
      <c r="B15" s="981" t="s">
        <v>40</v>
      </c>
      <c r="C15" s="981" t="s">
        <v>290</v>
      </c>
      <c r="D15" s="981">
        <v>96</v>
      </c>
      <c r="E15" s="981">
        <v>335.5</v>
      </c>
      <c r="F15" s="981">
        <v>6</v>
      </c>
      <c r="G15" s="981">
        <v>37.5</v>
      </c>
      <c r="H15" s="981"/>
      <c r="I15" s="981"/>
      <c r="J15" s="981"/>
      <c r="K15" s="981"/>
    </row>
    <row r="16" spans="1:11" x14ac:dyDescent="0.25">
      <c r="A16" s="981" t="s">
        <v>206</v>
      </c>
      <c r="B16" s="981" t="s">
        <v>41</v>
      </c>
      <c r="C16" s="981" t="s">
        <v>291</v>
      </c>
      <c r="D16" s="981">
        <v>111</v>
      </c>
      <c r="E16" s="981">
        <v>761.5</v>
      </c>
      <c r="F16" s="981">
        <v>8</v>
      </c>
      <c r="G16" s="981">
        <v>133</v>
      </c>
      <c r="H16" s="981"/>
      <c r="I16" s="981"/>
      <c r="J16" s="981"/>
      <c r="K16" s="981"/>
    </row>
    <row r="17" spans="1:11" x14ac:dyDescent="0.25">
      <c r="A17" s="981" t="s">
        <v>206</v>
      </c>
      <c r="B17" s="981" t="s">
        <v>42</v>
      </c>
      <c r="C17" s="981" t="s">
        <v>293</v>
      </c>
      <c r="D17" s="981">
        <v>232</v>
      </c>
      <c r="E17" s="981">
        <v>1156</v>
      </c>
      <c r="F17" s="981">
        <v>11</v>
      </c>
      <c r="G17" s="981">
        <v>105.25</v>
      </c>
      <c r="H17" s="981"/>
      <c r="I17" s="981"/>
      <c r="J17" s="981"/>
      <c r="K17" s="981"/>
    </row>
    <row r="18" spans="1:11" x14ac:dyDescent="0.25">
      <c r="A18" s="981" t="s">
        <v>206</v>
      </c>
      <c r="B18" s="981" t="s">
        <v>43</v>
      </c>
      <c r="C18" s="981" t="s">
        <v>441</v>
      </c>
      <c r="D18" s="981">
        <v>483</v>
      </c>
      <c r="E18" s="981">
        <v>1857.5</v>
      </c>
      <c r="F18" s="981">
        <v>15</v>
      </c>
      <c r="G18" s="981">
        <v>104.75</v>
      </c>
      <c r="H18" s="981"/>
      <c r="I18" s="981"/>
      <c r="J18" s="981"/>
      <c r="K18" s="981"/>
    </row>
    <row r="19" spans="1:11" x14ac:dyDescent="0.25">
      <c r="A19" s="981" t="s">
        <v>206</v>
      </c>
      <c r="B19" s="981" t="s">
        <v>124</v>
      </c>
      <c r="C19" s="981" t="s">
        <v>317</v>
      </c>
      <c r="D19" s="981">
        <v>1045</v>
      </c>
      <c r="E19" s="981">
        <v>5340</v>
      </c>
      <c r="F19" s="981">
        <v>77</v>
      </c>
      <c r="G19" s="981">
        <v>444</v>
      </c>
      <c r="H19" s="981"/>
      <c r="I19" s="981"/>
      <c r="J19" s="981">
        <v>1</v>
      </c>
      <c r="K19" s="981">
        <v>5.5</v>
      </c>
    </row>
    <row r="20" spans="1:11" x14ac:dyDescent="0.25">
      <c r="A20" s="981" t="s">
        <v>206</v>
      </c>
      <c r="B20" s="981" t="s">
        <v>44</v>
      </c>
      <c r="C20" s="981" t="s">
        <v>294</v>
      </c>
      <c r="D20" s="981">
        <v>259</v>
      </c>
      <c r="E20" s="981">
        <v>1846.75</v>
      </c>
      <c r="F20" s="981">
        <v>17</v>
      </c>
      <c r="G20" s="981">
        <v>253.25</v>
      </c>
      <c r="H20" s="981">
        <v>5</v>
      </c>
      <c r="I20" s="981">
        <v>112.5</v>
      </c>
      <c r="J20" s="981"/>
      <c r="K20" s="981"/>
    </row>
    <row r="21" spans="1:11" x14ac:dyDescent="0.25">
      <c r="A21" s="981" t="s">
        <v>206</v>
      </c>
      <c r="B21" s="981" t="s">
        <v>45</v>
      </c>
      <c r="C21" s="981" t="s">
        <v>295</v>
      </c>
      <c r="D21" s="981">
        <v>142</v>
      </c>
      <c r="E21" s="981">
        <v>600.5</v>
      </c>
      <c r="F21" s="981">
        <v>5</v>
      </c>
      <c r="G21" s="981">
        <v>37.75</v>
      </c>
      <c r="H21" s="981"/>
      <c r="I21" s="981"/>
      <c r="J21" s="981"/>
      <c r="K21" s="981"/>
    </row>
    <row r="22" spans="1:11" x14ac:dyDescent="0.25">
      <c r="A22" s="981" t="s">
        <v>206</v>
      </c>
      <c r="B22" s="981" t="s">
        <v>46</v>
      </c>
      <c r="C22" s="981" t="s">
        <v>296</v>
      </c>
      <c r="D22" s="981">
        <v>122</v>
      </c>
      <c r="E22" s="981">
        <v>365.5</v>
      </c>
      <c r="F22" s="981">
        <v>4</v>
      </c>
      <c r="G22" s="981">
        <v>31.25</v>
      </c>
      <c r="H22" s="981"/>
      <c r="I22" s="981"/>
      <c r="J22" s="981"/>
      <c r="K22" s="981"/>
    </row>
    <row r="23" spans="1:11" x14ac:dyDescent="0.25">
      <c r="A23" s="981" t="s">
        <v>206</v>
      </c>
      <c r="B23" s="981" t="s">
        <v>47</v>
      </c>
      <c r="C23" s="981" t="s">
        <v>297</v>
      </c>
      <c r="D23" s="981">
        <v>110</v>
      </c>
      <c r="E23" s="981">
        <v>771.25</v>
      </c>
      <c r="F23" s="981">
        <v>4</v>
      </c>
      <c r="G23" s="981">
        <v>72.5</v>
      </c>
      <c r="H23" s="981"/>
      <c r="I23" s="981"/>
      <c r="J23" s="981"/>
      <c r="K23" s="981"/>
    </row>
    <row r="24" spans="1:11" x14ac:dyDescent="0.25">
      <c r="A24" s="981" t="s">
        <v>206</v>
      </c>
      <c r="B24" s="981" t="s">
        <v>48</v>
      </c>
      <c r="C24" s="981" t="s">
        <v>292</v>
      </c>
      <c r="D24" s="981">
        <v>18</v>
      </c>
      <c r="E24" s="981">
        <v>138.5</v>
      </c>
      <c r="F24" s="981">
        <v>1</v>
      </c>
      <c r="G24" s="981">
        <v>13.25</v>
      </c>
      <c r="H24" s="981"/>
      <c r="I24" s="981"/>
      <c r="J24" s="981"/>
      <c r="K24" s="981"/>
    </row>
    <row r="25" spans="1:11" x14ac:dyDescent="0.25">
      <c r="A25" s="981" t="s">
        <v>206</v>
      </c>
      <c r="B25" s="981" t="s">
        <v>49</v>
      </c>
      <c r="C25" s="981" t="s">
        <v>298</v>
      </c>
      <c r="D25" s="981">
        <v>105</v>
      </c>
      <c r="E25" s="981">
        <v>505.5</v>
      </c>
      <c r="F25" s="981">
        <v>4</v>
      </c>
      <c r="G25" s="981">
        <v>31</v>
      </c>
      <c r="H25" s="981"/>
      <c r="I25" s="981"/>
      <c r="J25" s="981"/>
      <c r="K25" s="981"/>
    </row>
    <row r="26" spans="1:11" x14ac:dyDescent="0.25">
      <c r="A26" s="981" t="s">
        <v>206</v>
      </c>
      <c r="B26" s="981" t="s">
        <v>50</v>
      </c>
      <c r="C26" s="981" t="s">
        <v>315</v>
      </c>
      <c r="D26" s="981">
        <v>298</v>
      </c>
      <c r="E26" s="981">
        <v>2166.75</v>
      </c>
      <c r="F26" s="981">
        <v>3</v>
      </c>
      <c r="G26" s="981">
        <v>23.75</v>
      </c>
      <c r="H26" s="981"/>
      <c r="I26" s="981"/>
      <c r="J26" s="981"/>
      <c r="K26" s="981"/>
    </row>
    <row r="27" spans="1:11" x14ac:dyDescent="0.25">
      <c r="A27" s="981" t="s">
        <v>206</v>
      </c>
      <c r="B27" s="981" t="s">
        <v>51</v>
      </c>
      <c r="C27" s="981" t="s">
        <v>299</v>
      </c>
      <c r="D27" s="981">
        <v>16</v>
      </c>
      <c r="E27" s="981">
        <v>108.5</v>
      </c>
      <c r="F27" s="981"/>
      <c r="G27" s="981"/>
      <c r="H27" s="981"/>
      <c r="I27" s="981"/>
      <c r="J27" s="981"/>
      <c r="K27" s="981"/>
    </row>
    <row r="28" spans="1:11" x14ac:dyDescent="0.25">
      <c r="A28" s="981" t="s">
        <v>206</v>
      </c>
      <c r="B28" s="981" t="s">
        <v>52</v>
      </c>
      <c r="C28" s="981" t="s">
        <v>300</v>
      </c>
      <c r="D28" s="981">
        <v>246</v>
      </c>
      <c r="E28" s="981">
        <v>1269.25</v>
      </c>
      <c r="F28" s="981">
        <v>1</v>
      </c>
      <c r="G28" s="981">
        <v>10.25</v>
      </c>
      <c r="H28" s="981"/>
      <c r="I28" s="981"/>
      <c r="J28" s="981"/>
      <c r="K28" s="981"/>
    </row>
    <row r="29" spans="1:11" x14ac:dyDescent="0.25">
      <c r="A29" s="981" t="s">
        <v>206</v>
      </c>
      <c r="B29" s="981" t="s">
        <v>53</v>
      </c>
      <c r="C29" s="981" t="s">
        <v>310</v>
      </c>
      <c r="D29" s="981">
        <v>212</v>
      </c>
      <c r="E29" s="981">
        <v>1318.75</v>
      </c>
      <c r="F29" s="981">
        <v>3</v>
      </c>
      <c r="G29" s="981">
        <v>28.75</v>
      </c>
      <c r="H29" s="981"/>
      <c r="I29" s="981"/>
      <c r="J29" s="981"/>
      <c r="K29" s="981"/>
    </row>
    <row r="30" spans="1:11" x14ac:dyDescent="0.25">
      <c r="A30" s="981" t="s">
        <v>206</v>
      </c>
      <c r="B30" s="981" t="s">
        <v>54</v>
      </c>
      <c r="C30" s="981" t="s">
        <v>301</v>
      </c>
      <c r="D30" s="981">
        <v>332</v>
      </c>
      <c r="E30" s="981">
        <v>1463</v>
      </c>
      <c r="F30" s="981">
        <v>49</v>
      </c>
      <c r="G30" s="981">
        <v>381.75</v>
      </c>
      <c r="H30" s="981">
        <v>1</v>
      </c>
      <c r="I30" s="981">
        <v>31</v>
      </c>
      <c r="J30" s="981"/>
      <c r="K30" s="981"/>
    </row>
    <row r="31" spans="1:11" x14ac:dyDescent="0.25">
      <c r="A31" s="981" t="s">
        <v>206</v>
      </c>
      <c r="B31" s="981" t="s">
        <v>55</v>
      </c>
      <c r="C31" s="981" t="s">
        <v>302</v>
      </c>
      <c r="D31" s="981">
        <v>32</v>
      </c>
      <c r="E31" s="981">
        <v>199.75</v>
      </c>
      <c r="F31" s="981"/>
      <c r="G31" s="981"/>
      <c r="H31" s="981"/>
      <c r="I31" s="981"/>
      <c r="J31" s="981"/>
      <c r="K31" s="981"/>
    </row>
    <row r="32" spans="1:11" x14ac:dyDescent="0.25">
      <c r="A32" s="981" t="s">
        <v>206</v>
      </c>
      <c r="B32" s="981" t="s">
        <v>56</v>
      </c>
      <c r="C32" s="981" t="s">
        <v>303</v>
      </c>
      <c r="D32" s="981">
        <v>239</v>
      </c>
      <c r="E32" s="981">
        <v>1368.5</v>
      </c>
      <c r="F32" s="981">
        <v>8</v>
      </c>
      <c r="G32" s="981">
        <v>65.5</v>
      </c>
      <c r="H32" s="981"/>
      <c r="I32" s="981"/>
      <c r="J32" s="981"/>
      <c r="K32" s="981"/>
    </row>
    <row r="33" spans="1:11" x14ac:dyDescent="0.25">
      <c r="A33" s="981" t="s">
        <v>206</v>
      </c>
      <c r="B33" s="981" t="s">
        <v>57</v>
      </c>
      <c r="C33" s="981" t="s">
        <v>304</v>
      </c>
      <c r="D33" s="981">
        <v>278</v>
      </c>
      <c r="E33" s="981">
        <v>2462.25</v>
      </c>
      <c r="F33" s="981">
        <v>8</v>
      </c>
      <c r="G33" s="981">
        <v>133.5</v>
      </c>
      <c r="H33" s="981"/>
      <c r="I33" s="981"/>
      <c r="J33" s="981"/>
      <c r="K33" s="981"/>
    </row>
    <row r="34" spans="1:11" x14ac:dyDescent="0.25">
      <c r="A34" s="981" t="s">
        <v>206</v>
      </c>
      <c r="B34" s="981" t="s">
        <v>58</v>
      </c>
      <c r="C34" s="981" t="s">
        <v>305</v>
      </c>
      <c r="D34" s="981">
        <v>210</v>
      </c>
      <c r="E34" s="981">
        <v>875.75</v>
      </c>
      <c r="F34" s="981">
        <v>7</v>
      </c>
      <c r="G34" s="981">
        <v>49.25</v>
      </c>
      <c r="H34" s="981"/>
      <c r="I34" s="981"/>
      <c r="J34" s="981"/>
      <c r="K34" s="981"/>
    </row>
    <row r="35" spans="1:11" x14ac:dyDescent="0.25">
      <c r="A35" s="981" t="s">
        <v>206</v>
      </c>
      <c r="B35" s="981" t="s">
        <v>59</v>
      </c>
      <c r="C35" s="981" t="s">
        <v>311</v>
      </c>
      <c r="D35" s="981">
        <v>176</v>
      </c>
      <c r="E35" s="981">
        <v>797.25</v>
      </c>
      <c r="F35" s="981"/>
      <c r="G35" s="981"/>
      <c r="H35" s="981"/>
      <c r="I35" s="981"/>
      <c r="J35" s="981"/>
      <c r="K35" s="981"/>
    </row>
    <row r="36" spans="1:11" x14ac:dyDescent="0.25">
      <c r="A36" s="981" t="s">
        <v>206</v>
      </c>
      <c r="B36" s="981" t="s">
        <v>60</v>
      </c>
      <c r="C36" s="981" t="s">
        <v>312</v>
      </c>
      <c r="D36" s="981">
        <v>221</v>
      </c>
      <c r="E36" s="981">
        <v>867.25</v>
      </c>
      <c r="F36" s="981">
        <v>17</v>
      </c>
      <c r="G36" s="981">
        <v>91.25</v>
      </c>
      <c r="H36" s="981"/>
      <c r="I36" s="981"/>
      <c r="J36" s="981"/>
      <c r="K36" s="981"/>
    </row>
    <row r="37" spans="1:11" x14ac:dyDescent="0.25">
      <c r="A37" s="981" t="s">
        <v>205</v>
      </c>
      <c r="B37" s="981" t="s">
        <v>31</v>
      </c>
      <c r="C37" s="981" t="s">
        <v>306</v>
      </c>
      <c r="D37" s="981">
        <v>282</v>
      </c>
      <c r="E37" s="981">
        <v>1395</v>
      </c>
      <c r="F37" s="981">
        <v>33</v>
      </c>
      <c r="G37" s="981">
        <v>340.75</v>
      </c>
      <c r="H37" s="981"/>
      <c r="I37" s="981"/>
      <c r="J37" s="981">
        <v>1</v>
      </c>
      <c r="K37" s="981">
        <v>3.75</v>
      </c>
    </row>
    <row r="38" spans="1:11" x14ac:dyDescent="0.25">
      <c r="A38" s="981" t="s">
        <v>205</v>
      </c>
      <c r="B38" s="981" t="s">
        <v>32</v>
      </c>
      <c r="C38" s="981" t="s">
        <v>307</v>
      </c>
      <c r="D38" s="981">
        <v>334</v>
      </c>
      <c r="E38" s="981">
        <v>2016.25</v>
      </c>
      <c r="F38" s="981">
        <v>39</v>
      </c>
      <c r="G38" s="981">
        <v>438</v>
      </c>
      <c r="H38" s="981">
        <v>1</v>
      </c>
      <c r="I38" s="981">
        <v>28.25</v>
      </c>
      <c r="J38" s="981"/>
      <c r="K38" s="981"/>
    </row>
    <row r="39" spans="1:11" x14ac:dyDescent="0.25">
      <c r="A39" s="981" t="s">
        <v>205</v>
      </c>
      <c r="B39" s="981" t="s">
        <v>33</v>
      </c>
      <c r="C39" s="981" t="s">
        <v>313</v>
      </c>
      <c r="D39" s="981">
        <v>167</v>
      </c>
      <c r="E39" s="981">
        <v>768.25</v>
      </c>
      <c r="F39" s="981">
        <v>7</v>
      </c>
      <c r="G39" s="981">
        <v>62</v>
      </c>
      <c r="H39" s="981"/>
      <c r="I39" s="981"/>
      <c r="J39" s="981"/>
      <c r="K39" s="981"/>
    </row>
    <row r="40" spans="1:11" x14ac:dyDescent="0.25">
      <c r="A40" s="981" t="s">
        <v>205</v>
      </c>
      <c r="B40" s="981" t="s">
        <v>34</v>
      </c>
      <c r="C40" s="981" t="s">
        <v>308</v>
      </c>
      <c r="D40" s="981">
        <v>328</v>
      </c>
      <c r="E40" s="981">
        <v>2625.5</v>
      </c>
      <c r="F40" s="981">
        <v>13</v>
      </c>
      <c r="G40" s="981">
        <v>134</v>
      </c>
      <c r="H40" s="981">
        <v>3</v>
      </c>
      <c r="I40" s="981">
        <v>51.25</v>
      </c>
      <c r="J40" s="981"/>
      <c r="K40" s="981"/>
    </row>
    <row r="41" spans="1:11" x14ac:dyDescent="0.25">
      <c r="A41" s="981" t="s">
        <v>205</v>
      </c>
      <c r="B41" s="981" t="s">
        <v>262</v>
      </c>
      <c r="C41" s="981" t="s">
        <v>309</v>
      </c>
      <c r="D41" s="981">
        <v>790</v>
      </c>
      <c r="E41" s="981">
        <v>2779.75</v>
      </c>
      <c r="F41" s="981">
        <v>67</v>
      </c>
      <c r="G41" s="981">
        <v>415</v>
      </c>
      <c r="H41" s="981">
        <v>1</v>
      </c>
      <c r="I41" s="981">
        <v>32</v>
      </c>
      <c r="J41" s="981"/>
      <c r="K41" s="981"/>
    </row>
    <row r="42" spans="1:11" x14ac:dyDescent="0.25">
      <c r="A42" s="981" t="s">
        <v>205</v>
      </c>
      <c r="B42" s="981" t="s">
        <v>35</v>
      </c>
      <c r="C42" s="981" t="s">
        <v>287</v>
      </c>
      <c r="D42" s="981">
        <v>51</v>
      </c>
      <c r="E42" s="981">
        <v>190</v>
      </c>
      <c r="F42" s="981"/>
      <c r="G42" s="981"/>
      <c r="H42" s="981"/>
      <c r="I42" s="981"/>
      <c r="J42" s="981"/>
      <c r="K42" s="981"/>
    </row>
    <row r="43" spans="1:11" x14ac:dyDescent="0.25">
      <c r="A43" s="981" t="s">
        <v>205</v>
      </c>
      <c r="B43" s="981" t="s">
        <v>36</v>
      </c>
      <c r="C43" s="981" t="s">
        <v>288</v>
      </c>
      <c r="D43" s="981">
        <v>236</v>
      </c>
      <c r="E43" s="981">
        <v>943.25</v>
      </c>
      <c r="F43" s="981">
        <v>60</v>
      </c>
      <c r="G43" s="981">
        <v>445.25</v>
      </c>
      <c r="H43" s="981"/>
      <c r="I43" s="981"/>
      <c r="J43" s="981"/>
      <c r="K43" s="981"/>
    </row>
    <row r="44" spans="1:11" x14ac:dyDescent="0.25">
      <c r="A44" s="981" t="s">
        <v>205</v>
      </c>
      <c r="B44" s="981" t="s">
        <v>37</v>
      </c>
      <c r="C44" s="981" t="s">
        <v>314</v>
      </c>
      <c r="D44" s="981">
        <v>588</v>
      </c>
      <c r="E44" s="981">
        <v>2433.5</v>
      </c>
      <c r="F44" s="981">
        <v>10</v>
      </c>
      <c r="G44" s="981">
        <v>76.25</v>
      </c>
      <c r="H44" s="981"/>
      <c r="I44" s="981"/>
      <c r="J44" s="981"/>
      <c r="K44" s="981"/>
    </row>
    <row r="45" spans="1:11" x14ac:dyDescent="0.25">
      <c r="A45" s="981" t="s">
        <v>205</v>
      </c>
      <c r="B45" s="981" t="s">
        <v>38</v>
      </c>
      <c r="C45" s="981" t="s">
        <v>289</v>
      </c>
      <c r="D45" s="981">
        <v>131</v>
      </c>
      <c r="E45" s="981">
        <v>1016</v>
      </c>
      <c r="F45" s="981">
        <v>12</v>
      </c>
      <c r="G45" s="981">
        <v>128.75</v>
      </c>
      <c r="H45" s="981">
        <v>1</v>
      </c>
      <c r="I45" s="981">
        <v>28.5</v>
      </c>
      <c r="J45" s="981"/>
      <c r="K45" s="981"/>
    </row>
    <row r="46" spans="1:11" x14ac:dyDescent="0.25">
      <c r="A46" s="981" t="s">
        <v>205</v>
      </c>
      <c r="B46" s="981" t="s">
        <v>39</v>
      </c>
      <c r="C46" s="981" t="s">
        <v>316</v>
      </c>
      <c r="D46" s="981">
        <v>93</v>
      </c>
      <c r="E46" s="981">
        <v>607.5</v>
      </c>
      <c r="F46" s="981">
        <v>2</v>
      </c>
      <c r="G46" s="981">
        <v>26.25</v>
      </c>
      <c r="H46" s="981"/>
      <c r="I46" s="981"/>
      <c r="J46" s="981"/>
      <c r="K46" s="981"/>
    </row>
    <row r="47" spans="1:11" x14ac:dyDescent="0.25">
      <c r="A47" s="981" t="s">
        <v>205</v>
      </c>
      <c r="B47" s="981" t="s">
        <v>40</v>
      </c>
      <c r="C47" s="981" t="s">
        <v>290</v>
      </c>
      <c r="D47" s="981">
        <v>143</v>
      </c>
      <c r="E47" s="981">
        <v>628</v>
      </c>
      <c r="F47" s="981">
        <v>13</v>
      </c>
      <c r="G47" s="981">
        <v>106</v>
      </c>
      <c r="H47" s="981"/>
      <c r="I47" s="981"/>
      <c r="J47" s="981"/>
      <c r="K47" s="981"/>
    </row>
    <row r="48" spans="1:11" x14ac:dyDescent="0.25">
      <c r="A48" s="981" t="s">
        <v>205</v>
      </c>
      <c r="B48" s="981" t="s">
        <v>41</v>
      </c>
      <c r="C48" s="981" t="s">
        <v>291</v>
      </c>
      <c r="D48" s="981">
        <v>54</v>
      </c>
      <c r="E48" s="981">
        <v>343.75</v>
      </c>
      <c r="F48" s="981">
        <v>3</v>
      </c>
      <c r="G48" s="981">
        <v>60</v>
      </c>
      <c r="H48" s="981"/>
      <c r="I48" s="981"/>
      <c r="J48" s="981"/>
      <c r="K48" s="981"/>
    </row>
    <row r="49" spans="1:11" x14ac:dyDescent="0.25">
      <c r="A49" s="981" t="s">
        <v>205</v>
      </c>
      <c r="B49" s="981" t="s">
        <v>42</v>
      </c>
      <c r="C49" s="981" t="s">
        <v>293</v>
      </c>
      <c r="D49" s="981">
        <v>151</v>
      </c>
      <c r="E49" s="981">
        <v>754.5</v>
      </c>
      <c r="F49" s="981">
        <v>9</v>
      </c>
      <c r="G49" s="981">
        <v>57.25</v>
      </c>
      <c r="H49" s="981"/>
      <c r="I49" s="981"/>
      <c r="J49" s="981">
        <v>1</v>
      </c>
      <c r="K49" s="981">
        <v>11.5</v>
      </c>
    </row>
    <row r="50" spans="1:11" x14ac:dyDescent="0.25">
      <c r="A50" s="981" t="s">
        <v>205</v>
      </c>
      <c r="B50" s="981" t="s">
        <v>43</v>
      </c>
      <c r="C50" s="981" t="s">
        <v>441</v>
      </c>
      <c r="D50" s="981">
        <v>600</v>
      </c>
      <c r="E50" s="981">
        <v>2456.75</v>
      </c>
      <c r="F50" s="981">
        <v>18</v>
      </c>
      <c r="G50" s="981">
        <v>153.75</v>
      </c>
      <c r="H50" s="981">
        <v>1</v>
      </c>
      <c r="I50" s="981">
        <v>24.75</v>
      </c>
      <c r="J50" s="981"/>
      <c r="K50" s="981"/>
    </row>
    <row r="51" spans="1:11" x14ac:dyDescent="0.25">
      <c r="A51" s="981" t="s">
        <v>205</v>
      </c>
      <c r="B51" s="981" t="s">
        <v>124</v>
      </c>
      <c r="C51" s="981" t="s">
        <v>317</v>
      </c>
      <c r="D51" s="981">
        <v>1812</v>
      </c>
      <c r="E51" s="981">
        <v>7682.25</v>
      </c>
      <c r="F51" s="981">
        <v>144</v>
      </c>
      <c r="G51" s="981">
        <v>952.25</v>
      </c>
      <c r="H51" s="981">
        <v>1</v>
      </c>
      <c r="I51" s="981">
        <v>37.25</v>
      </c>
      <c r="J51" s="981"/>
      <c r="K51" s="981"/>
    </row>
    <row r="52" spans="1:11" x14ac:dyDescent="0.25">
      <c r="A52" s="981" t="s">
        <v>205</v>
      </c>
      <c r="B52" s="981" t="s">
        <v>44</v>
      </c>
      <c r="C52" s="981" t="s">
        <v>294</v>
      </c>
      <c r="D52" s="981">
        <v>287</v>
      </c>
      <c r="E52" s="981">
        <v>1820.25</v>
      </c>
      <c r="F52" s="981">
        <v>49</v>
      </c>
      <c r="G52" s="981">
        <v>847.75</v>
      </c>
      <c r="H52" s="981">
        <v>10</v>
      </c>
      <c r="I52" s="981">
        <v>256.5</v>
      </c>
      <c r="J52" s="981"/>
      <c r="K52" s="981"/>
    </row>
    <row r="53" spans="1:11" x14ac:dyDescent="0.25">
      <c r="A53" s="981" t="s">
        <v>205</v>
      </c>
      <c r="B53" s="981" t="s">
        <v>45</v>
      </c>
      <c r="C53" s="981" t="s">
        <v>295</v>
      </c>
      <c r="D53" s="981">
        <v>62</v>
      </c>
      <c r="E53" s="981">
        <v>263.75</v>
      </c>
      <c r="F53" s="981">
        <v>1</v>
      </c>
      <c r="G53" s="981">
        <v>17.25</v>
      </c>
      <c r="H53" s="981"/>
      <c r="I53" s="981"/>
      <c r="J53" s="981"/>
      <c r="K53" s="981"/>
    </row>
    <row r="54" spans="1:11" x14ac:dyDescent="0.25">
      <c r="A54" s="981" t="s">
        <v>205</v>
      </c>
      <c r="B54" s="981" t="s">
        <v>46</v>
      </c>
      <c r="C54" s="981" t="s">
        <v>296</v>
      </c>
      <c r="D54" s="981">
        <v>96</v>
      </c>
      <c r="E54" s="981">
        <v>321.75</v>
      </c>
      <c r="F54" s="981">
        <v>2</v>
      </c>
      <c r="G54" s="981">
        <v>7.75</v>
      </c>
      <c r="H54" s="981"/>
      <c r="I54" s="981"/>
      <c r="J54" s="981"/>
      <c r="K54" s="981"/>
    </row>
    <row r="55" spans="1:11" x14ac:dyDescent="0.25">
      <c r="A55" s="981" t="s">
        <v>205</v>
      </c>
      <c r="B55" s="981" t="s">
        <v>47</v>
      </c>
      <c r="C55" s="981" t="s">
        <v>297</v>
      </c>
      <c r="D55" s="981">
        <v>175</v>
      </c>
      <c r="E55" s="981">
        <v>986.75</v>
      </c>
      <c r="F55" s="981">
        <v>18</v>
      </c>
      <c r="G55" s="981">
        <v>256.25</v>
      </c>
      <c r="H55" s="981">
        <v>2</v>
      </c>
      <c r="I55" s="981">
        <v>23</v>
      </c>
      <c r="J55" s="981"/>
      <c r="K55" s="981"/>
    </row>
    <row r="56" spans="1:11" x14ac:dyDescent="0.25">
      <c r="A56" s="981" t="s">
        <v>205</v>
      </c>
      <c r="B56" s="981" t="s">
        <v>48</v>
      </c>
      <c r="C56" s="981" t="s">
        <v>292</v>
      </c>
      <c r="D56" s="981">
        <v>5</v>
      </c>
      <c r="E56" s="981">
        <v>27.25</v>
      </c>
      <c r="F56" s="981">
        <v>4</v>
      </c>
      <c r="G56" s="981">
        <v>78.75</v>
      </c>
      <c r="H56" s="981"/>
      <c r="I56" s="981"/>
      <c r="J56" s="981"/>
      <c r="K56" s="981"/>
    </row>
    <row r="57" spans="1:11" x14ac:dyDescent="0.25">
      <c r="A57" s="981" t="s">
        <v>205</v>
      </c>
      <c r="B57" s="981" t="s">
        <v>49</v>
      </c>
      <c r="C57" s="981" t="s">
        <v>298</v>
      </c>
      <c r="D57" s="981">
        <v>226</v>
      </c>
      <c r="E57" s="981">
        <v>1330.25</v>
      </c>
      <c r="F57" s="981">
        <v>37</v>
      </c>
      <c r="G57" s="981">
        <v>348.75</v>
      </c>
      <c r="H57" s="981"/>
      <c r="I57" s="981"/>
      <c r="J57" s="981"/>
      <c r="K57" s="981"/>
    </row>
    <row r="58" spans="1:11" x14ac:dyDescent="0.25">
      <c r="A58" s="981" t="s">
        <v>205</v>
      </c>
      <c r="B58" s="981" t="s">
        <v>50</v>
      </c>
      <c r="C58" s="981" t="s">
        <v>315</v>
      </c>
      <c r="D58" s="981">
        <v>539</v>
      </c>
      <c r="E58" s="981">
        <v>3321.5</v>
      </c>
      <c r="F58" s="981">
        <v>15</v>
      </c>
      <c r="G58" s="981">
        <v>152.25</v>
      </c>
      <c r="H58" s="981"/>
      <c r="I58" s="981"/>
      <c r="J58" s="981"/>
      <c r="K58" s="981"/>
    </row>
    <row r="59" spans="1:11" x14ac:dyDescent="0.25">
      <c r="A59" s="981" t="s">
        <v>205</v>
      </c>
      <c r="B59" s="981" t="s">
        <v>51</v>
      </c>
      <c r="C59" s="981" t="s">
        <v>299</v>
      </c>
      <c r="D59" s="981">
        <v>31</v>
      </c>
      <c r="E59" s="981">
        <v>146.75</v>
      </c>
      <c r="F59" s="981">
        <v>1</v>
      </c>
      <c r="G59" s="981">
        <v>13.25</v>
      </c>
      <c r="H59" s="981"/>
      <c r="I59" s="981"/>
      <c r="J59" s="981"/>
      <c r="K59" s="981"/>
    </row>
    <row r="60" spans="1:11" x14ac:dyDescent="0.25">
      <c r="A60" s="981" t="s">
        <v>205</v>
      </c>
      <c r="B60" s="981" t="s">
        <v>52</v>
      </c>
      <c r="C60" s="981" t="s">
        <v>300</v>
      </c>
      <c r="D60" s="981">
        <v>269</v>
      </c>
      <c r="E60" s="981">
        <v>1484.5</v>
      </c>
      <c r="F60" s="981">
        <v>1</v>
      </c>
      <c r="G60" s="981">
        <v>12</v>
      </c>
      <c r="H60" s="981"/>
      <c r="I60" s="981"/>
      <c r="J60" s="981"/>
      <c r="K60" s="981"/>
    </row>
    <row r="61" spans="1:11" x14ac:dyDescent="0.25">
      <c r="A61" s="981" t="s">
        <v>205</v>
      </c>
      <c r="B61" s="981" t="s">
        <v>53</v>
      </c>
      <c r="C61" s="981" t="s">
        <v>310</v>
      </c>
      <c r="D61" s="981">
        <v>238</v>
      </c>
      <c r="E61" s="981">
        <v>1268.75</v>
      </c>
      <c r="F61" s="981"/>
      <c r="G61" s="981"/>
      <c r="H61" s="981"/>
      <c r="I61" s="981"/>
      <c r="J61" s="981"/>
      <c r="K61" s="981"/>
    </row>
    <row r="62" spans="1:11" x14ac:dyDescent="0.25">
      <c r="A62" s="981" t="s">
        <v>205</v>
      </c>
      <c r="B62" s="981" t="s">
        <v>54</v>
      </c>
      <c r="C62" s="981" t="s">
        <v>301</v>
      </c>
      <c r="D62" s="981">
        <v>251</v>
      </c>
      <c r="E62" s="981">
        <v>1101.75</v>
      </c>
      <c r="F62" s="981">
        <v>39</v>
      </c>
      <c r="G62" s="981">
        <v>303.5</v>
      </c>
      <c r="H62" s="981"/>
      <c r="I62" s="981"/>
      <c r="J62" s="981">
        <v>1</v>
      </c>
      <c r="K62" s="981">
        <v>5.5</v>
      </c>
    </row>
    <row r="63" spans="1:11" x14ac:dyDescent="0.25">
      <c r="A63" s="981" t="s">
        <v>205</v>
      </c>
      <c r="B63" s="981" t="s">
        <v>55</v>
      </c>
      <c r="C63" s="981" t="s">
        <v>302</v>
      </c>
      <c r="D63" s="981">
        <v>24</v>
      </c>
      <c r="E63" s="981">
        <v>127.25</v>
      </c>
      <c r="F63" s="981"/>
      <c r="G63" s="981"/>
      <c r="H63" s="981"/>
      <c r="I63" s="981"/>
      <c r="J63" s="981"/>
      <c r="K63" s="981"/>
    </row>
    <row r="64" spans="1:11" x14ac:dyDescent="0.25">
      <c r="A64" s="981" t="s">
        <v>205</v>
      </c>
      <c r="B64" s="981" t="s">
        <v>56</v>
      </c>
      <c r="C64" s="981" t="s">
        <v>303</v>
      </c>
      <c r="D64" s="981">
        <v>274</v>
      </c>
      <c r="E64" s="981">
        <v>1590.25</v>
      </c>
      <c r="F64" s="981">
        <v>14</v>
      </c>
      <c r="G64" s="981">
        <v>122.25</v>
      </c>
      <c r="H64" s="981">
        <v>1</v>
      </c>
      <c r="I64" s="981">
        <v>18.25</v>
      </c>
      <c r="J64" s="981"/>
      <c r="K64" s="981"/>
    </row>
    <row r="65" spans="1:11" x14ac:dyDescent="0.25">
      <c r="A65" s="981" t="s">
        <v>205</v>
      </c>
      <c r="B65" s="981" t="s">
        <v>57</v>
      </c>
      <c r="C65" s="981" t="s">
        <v>304</v>
      </c>
      <c r="D65" s="981">
        <v>243</v>
      </c>
      <c r="E65" s="981">
        <v>1871.5</v>
      </c>
      <c r="F65" s="981">
        <v>7</v>
      </c>
      <c r="G65" s="981">
        <v>246.25</v>
      </c>
      <c r="H65" s="981">
        <v>1</v>
      </c>
      <c r="I65" s="981">
        <v>90.5</v>
      </c>
      <c r="J65" s="981"/>
      <c r="K65" s="981"/>
    </row>
    <row r="66" spans="1:11" x14ac:dyDescent="0.25">
      <c r="A66" s="981" t="s">
        <v>205</v>
      </c>
      <c r="B66" s="981" t="s">
        <v>58</v>
      </c>
      <c r="C66" s="981" t="s">
        <v>305</v>
      </c>
      <c r="D66" s="981">
        <v>332</v>
      </c>
      <c r="E66" s="981">
        <v>1013.5</v>
      </c>
      <c r="F66" s="981">
        <v>8</v>
      </c>
      <c r="G66" s="981">
        <v>39</v>
      </c>
      <c r="H66" s="981">
        <v>1</v>
      </c>
      <c r="I66" s="981">
        <v>21.75</v>
      </c>
      <c r="J66" s="981">
        <v>1</v>
      </c>
      <c r="K66" s="981">
        <v>2.5</v>
      </c>
    </row>
    <row r="67" spans="1:11" x14ac:dyDescent="0.25">
      <c r="A67" s="981" t="s">
        <v>205</v>
      </c>
      <c r="B67" s="981" t="s">
        <v>59</v>
      </c>
      <c r="C67" s="981" t="s">
        <v>311</v>
      </c>
      <c r="D67" s="981">
        <v>212</v>
      </c>
      <c r="E67" s="981">
        <v>933.75</v>
      </c>
      <c r="F67" s="981">
        <v>8</v>
      </c>
      <c r="G67" s="981">
        <v>99.75</v>
      </c>
      <c r="H67" s="981"/>
      <c r="I67" s="981"/>
      <c r="J67" s="981"/>
      <c r="K67" s="981"/>
    </row>
    <row r="68" spans="1:11" x14ac:dyDescent="0.25">
      <c r="A68" s="981" t="s">
        <v>205</v>
      </c>
      <c r="B68" s="981" t="s">
        <v>60</v>
      </c>
      <c r="C68" s="981" t="s">
        <v>312</v>
      </c>
      <c r="D68" s="981">
        <v>161</v>
      </c>
      <c r="E68" s="981">
        <v>715.25</v>
      </c>
      <c r="F68" s="981">
        <v>15</v>
      </c>
      <c r="G68" s="981">
        <v>129.25</v>
      </c>
      <c r="H68" s="981"/>
      <c r="I68" s="981"/>
      <c r="J68" s="981"/>
      <c r="K68" s="981"/>
    </row>
    <row r="69" spans="1:11" x14ac:dyDescent="0.25">
      <c r="A69" s="981" t="s">
        <v>278</v>
      </c>
      <c r="B69" s="981" t="s">
        <v>31</v>
      </c>
      <c r="C69" s="981" t="s">
        <v>306</v>
      </c>
      <c r="D69" s="981">
        <v>415</v>
      </c>
      <c r="E69" s="981">
        <v>2311</v>
      </c>
      <c r="F69" s="981">
        <v>20</v>
      </c>
      <c r="G69" s="981">
        <v>156.5</v>
      </c>
      <c r="H69" s="981">
        <v>7</v>
      </c>
      <c r="I69" s="981">
        <v>48</v>
      </c>
      <c r="J69" s="981"/>
      <c r="K69" s="981"/>
    </row>
    <row r="70" spans="1:11" x14ac:dyDescent="0.25">
      <c r="A70" s="981" t="s">
        <v>278</v>
      </c>
      <c r="B70" s="981" t="s">
        <v>32</v>
      </c>
      <c r="C70" s="981" t="s">
        <v>307</v>
      </c>
      <c r="D70" s="981">
        <v>336</v>
      </c>
      <c r="E70" s="981">
        <v>2384</v>
      </c>
      <c r="F70" s="981">
        <v>26</v>
      </c>
      <c r="G70" s="981">
        <v>277.5</v>
      </c>
      <c r="H70" s="981">
        <v>1</v>
      </c>
      <c r="I70" s="981">
        <v>6.5</v>
      </c>
      <c r="J70" s="981"/>
      <c r="K70" s="981"/>
    </row>
    <row r="71" spans="1:11" x14ac:dyDescent="0.25">
      <c r="A71" s="981" t="s">
        <v>278</v>
      </c>
      <c r="B71" s="981" t="s">
        <v>33</v>
      </c>
      <c r="C71" s="981" t="s">
        <v>313</v>
      </c>
      <c r="D71" s="981">
        <v>97</v>
      </c>
      <c r="E71" s="981">
        <v>396</v>
      </c>
      <c r="F71" s="981">
        <v>2</v>
      </c>
      <c r="G71" s="981">
        <v>19.75</v>
      </c>
      <c r="H71" s="981"/>
      <c r="I71" s="981"/>
      <c r="J71" s="981"/>
      <c r="K71" s="981"/>
    </row>
    <row r="72" spans="1:11" x14ac:dyDescent="0.25">
      <c r="A72" s="981" t="s">
        <v>278</v>
      </c>
      <c r="B72" s="981" t="s">
        <v>34</v>
      </c>
      <c r="C72" s="981" t="s">
        <v>308</v>
      </c>
      <c r="D72" s="981">
        <v>317</v>
      </c>
      <c r="E72" s="981">
        <v>2229.75</v>
      </c>
      <c r="F72" s="981">
        <v>14</v>
      </c>
      <c r="G72" s="981">
        <v>172.25</v>
      </c>
      <c r="H72" s="981">
        <v>2</v>
      </c>
      <c r="I72" s="981">
        <v>56.5</v>
      </c>
      <c r="J72" s="981"/>
      <c r="K72" s="981"/>
    </row>
    <row r="73" spans="1:11" x14ac:dyDescent="0.25">
      <c r="A73" s="981" t="s">
        <v>278</v>
      </c>
      <c r="B73" s="981" t="s">
        <v>262</v>
      </c>
      <c r="C73" s="981" t="s">
        <v>309</v>
      </c>
      <c r="D73" s="981">
        <v>733</v>
      </c>
      <c r="E73" s="981">
        <v>2765</v>
      </c>
      <c r="F73" s="981">
        <v>50</v>
      </c>
      <c r="G73" s="981">
        <v>314</v>
      </c>
      <c r="H73" s="981">
        <v>3</v>
      </c>
      <c r="I73" s="981">
        <v>28</v>
      </c>
      <c r="J73" s="981">
        <v>4</v>
      </c>
      <c r="K73" s="981">
        <v>8.25</v>
      </c>
    </row>
    <row r="74" spans="1:11" x14ac:dyDescent="0.25">
      <c r="A74" s="981" t="s">
        <v>278</v>
      </c>
      <c r="B74" s="981" t="s">
        <v>35</v>
      </c>
      <c r="C74" s="981" t="s">
        <v>287</v>
      </c>
      <c r="D74" s="981">
        <v>65</v>
      </c>
      <c r="E74" s="981">
        <v>226.75</v>
      </c>
      <c r="F74" s="981">
        <v>3</v>
      </c>
      <c r="G74" s="981">
        <v>16</v>
      </c>
      <c r="H74" s="981"/>
      <c r="I74" s="981"/>
      <c r="J74" s="981"/>
      <c r="K74" s="981"/>
    </row>
    <row r="75" spans="1:11" x14ac:dyDescent="0.25">
      <c r="A75" s="981" t="s">
        <v>278</v>
      </c>
      <c r="B75" s="981" t="s">
        <v>36</v>
      </c>
      <c r="C75" s="981" t="s">
        <v>288</v>
      </c>
      <c r="D75" s="981">
        <v>307</v>
      </c>
      <c r="E75" s="981">
        <v>1238</v>
      </c>
      <c r="F75" s="981">
        <v>56</v>
      </c>
      <c r="G75" s="981">
        <v>490.5</v>
      </c>
      <c r="H75" s="981"/>
      <c r="I75" s="981"/>
      <c r="J75" s="981">
        <v>1</v>
      </c>
      <c r="K75" s="981">
        <v>10.5</v>
      </c>
    </row>
    <row r="76" spans="1:11" x14ac:dyDescent="0.25">
      <c r="A76" s="981" t="s">
        <v>278</v>
      </c>
      <c r="B76" s="981" t="s">
        <v>37</v>
      </c>
      <c r="C76" s="981" t="s">
        <v>314</v>
      </c>
      <c r="D76" s="981">
        <v>653</v>
      </c>
      <c r="E76" s="981">
        <v>2216</v>
      </c>
      <c r="F76" s="981">
        <v>3</v>
      </c>
      <c r="G76" s="981">
        <v>17.25</v>
      </c>
      <c r="H76" s="981"/>
      <c r="I76" s="981"/>
      <c r="J76" s="981">
        <v>2</v>
      </c>
      <c r="K76" s="981">
        <v>16.5</v>
      </c>
    </row>
    <row r="77" spans="1:11" x14ac:dyDescent="0.25">
      <c r="A77" s="981" t="s">
        <v>278</v>
      </c>
      <c r="B77" s="981" t="s">
        <v>38</v>
      </c>
      <c r="C77" s="981" t="s">
        <v>289</v>
      </c>
      <c r="D77" s="981">
        <v>152</v>
      </c>
      <c r="E77" s="981">
        <v>1162.5</v>
      </c>
      <c r="F77" s="981">
        <v>12</v>
      </c>
      <c r="G77" s="981">
        <v>126.25</v>
      </c>
      <c r="H77" s="981">
        <v>1</v>
      </c>
      <c r="I77" s="981">
        <v>12.75</v>
      </c>
      <c r="J77" s="981"/>
      <c r="K77" s="981"/>
    </row>
    <row r="78" spans="1:11" x14ac:dyDescent="0.25">
      <c r="A78" s="981" t="s">
        <v>278</v>
      </c>
      <c r="B78" s="981" t="s">
        <v>39</v>
      </c>
      <c r="C78" s="981" t="s">
        <v>316</v>
      </c>
      <c r="D78" s="981">
        <v>77</v>
      </c>
      <c r="E78" s="981">
        <v>520.25</v>
      </c>
      <c r="F78" s="981">
        <v>4</v>
      </c>
      <c r="G78" s="981">
        <v>57</v>
      </c>
      <c r="H78" s="981"/>
      <c r="I78" s="981"/>
      <c r="J78" s="981"/>
      <c r="K78" s="981"/>
    </row>
    <row r="79" spans="1:11" x14ac:dyDescent="0.25">
      <c r="A79" s="981" t="s">
        <v>278</v>
      </c>
      <c r="B79" s="981" t="s">
        <v>40</v>
      </c>
      <c r="C79" s="981" t="s">
        <v>290</v>
      </c>
      <c r="D79" s="981">
        <v>126</v>
      </c>
      <c r="E79" s="981">
        <v>481.75</v>
      </c>
      <c r="F79" s="981">
        <v>13</v>
      </c>
      <c r="G79" s="981">
        <v>102.25</v>
      </c>
      <c r="H79" s="981"/>
      <c r="I79" s="981"/>
      <c r="J79" s="981"/>
      <c r="K79" s="981"/>
    </row>
    <row r="80" spans="1:11" x14ac:dyDescent="0.25">
      <c r="A80" s="981" t="s">
        <v>278</v>
      </c>
      <c r="B80" s="981" t="s">
        <v>41</v>
      </c>
      <c r="C80" s="981" t="s">
        <v>291</v>
      </c>
      <c r="D80" s="981">
        <v>76</v>
      </c>
      <c r="E80" s="981">
        <v>571.5</v>
      </c>
      <c r="F80" s="981">
        <v>4</v>
      </c>
      <c r="G80" s="981">
        <v>107.75</v>
      </c>
      <c r="H80" s="981"/>
      <c r="I80" s="981"/>
      <c r="J80" s="981"/>
      <c r="K80" s="981"/>
    </row>
    <row r="81" spans="1:11" x14ac:dyDescent="0.25">
      <c r="A81" s="981" t="s">
        <v>278</v>
      </c>
      <c r="B81" s="981" t="s">
        <v>42</v>
      </c>
      <c r="C81" s="981" t="s">
        <v>293</v>
      </c>
      <c r="D81" s="981">
        <v>152</v>
      </c>
      <c r="E81" s="981">
        <v>799.75</v>
      </c>
      <c r="F81" s="981">
        <v>8</v>
      </c>
      <c r="G81" s="981">
        <v>89.25</v>
      </c>
      <c r="H81" s="981"/>
      <c r="I81" s="981"/>
      <c r="J81" s="981"/>
      <c r="K81" s="981"/>
    </row>
    <row r="82" spans="1:11" x14ac:dyDescent="0.25">
      <c r="A82" s="981" t="s">
        <v>278</v>
      </c>
      <c r="B82" s="981" t="s">
        <v>43</v>
      </c>
      <c r="C82" s="981" t="s">
        <v>441</v>
      </c>
      <c r="D82" s="981">
        <v>452</v>
      </c>
      <c r="E82" s="981">
        <v>1850</v>
      </c>
      <c r="F82" s="981">
        <v>30</v>
      </c>
      <c r="G82" s="981">
        <v>353.5</v>
      </c>
      <c r="H82" s="981">
        <v>1</v>
      </c>
      <c r="I82" s="981">
        <v>76.75</v>
      </c>
      <c r="J82" s="981"/>
      <c r="K82" s="981"/>
    </row>
    <row r="83" spans="1:11" x14ac:dyDescent="0.25">
      <c r="A83" s="981" t="s">
        <v>278</v>
      </c>
      <c r="B83" s="981" t="s">
        <v>124</v>
      </c>
      <c r="C83" s="981" t="s">
        <v>317</v>
      </c>
      <c r="D83" s="981">
        <v>1457</v>
      </c>
      <c r="E83" s="981">
        <v>6398</v>
      </c>
      <c r="F83" s="981">
        <v>105</v>
      </c>
      <c r="G83" s="981">
        <v>596</v>
      </c>
      <c r="H83" s="981"/>
      <c r="I83" s="981"/>
      <c r="J83" s="981"/>
      <c r="K83" s="981"/>
    </row>
    <row r="84" spans="1:11" x14ac:dyDescent="0.25">
      <c r="A84" s="981" t="s">
        <v>278</v>
      </c>
      <c r="B84" s="981" t="s">
        <v>44</v>
      </c>
      <c r="C84" s="981" t="s">
        <v>294</v>
      </c>
      <c r="D84" s="981">
        <v>241</v>
      </c>
      <c r="E84" s="981">
        <v>1483.75</v>
      </c>
      <c r="F84" s="981">
        <v>27</v>
      </c>
      <c r="G84" s="981">
        <v>284.75</v>
      </c>
      <c r="H84" s="981">
        <v>1</v>
      </c>
      <c r="I84" s="981">
        <v>9.5</v>
      </c>
      <c r="J84" s="981">
        <v>1</v>
      </c>
      <c r="K84" s="981">
        <v>6.5</v>
      </c>
    </row>
    <row r="85" spans="1:11" x14ac:dyDescent="0.25">
      <c r="A85" s="981" t="s">
        <v>278</v>
      </c>
      <c r="B85" s="981" t="s">
        <v>45</v>
      </c>
      <c r="C85" s="981" t="s">
        <v>295</v>
      </c>
      <c r="D85" s="981">
        <v>107</v>
      </c>
      <c r="E85" s="981">
        <v>429.5</v>
      </c>
      <c r="F85" s="981">
        <v>8</v>
      </c>
      <c r="G85" s="981">
        <v>55</v>
      </c>
      <c r="H85" s="981"/>
      <c r="I85" s="981"/>
      <c r="J85" s="981"/>
      <c r="K85" s="981"/>
    </row>
    <row r="86" spans="1:11" x14ac:dyDescent="0.25">
      <c r="A86" s="981" t="s">
        <v>278</v>
      </c>
      <c r="B86" s="981" t="s">
        <v>46</v>
      </c>
      <c r="C86" s="981" t="s">
        <v>296</v>
      </c>
      <c r="D86" s="981">
        <v>93</v>
      </c>
      <c r="E86" s="981">
        <v>285.75</v>
      </c>
      <c r="F86" s="981">
        <v>4</v>
      </c>
      <c r="G86" s="981">
        <v>21</v>
      </c>
      <c r="H86" s="981"/>
      <c r="I86" s="981"/>
      <c r="J86" s="981"/>
      <c r="K86" s="981"/>
    </row>
    <row r="87" spans="1:11" x14ac:dyDescent="0.25">
      <c r="A87" s="981" t="s">
        <v>278</v>
      </c>
      <c r="B87" s="981" t="s">
        <v>47</v>
      </c>
      <c r="C87" s="981" t="s">
        <v>297</v>
      </c>
      <c r="D87" s="981">
        <v>136</v>
      </c>
      <c r="E87" s="981">
        <v>833.25</v>
      </c>
      <c r="F87" s="981">
        <v>6</v>
      </c>
      <c r="G87" s="981">
        <v>94.25</v>
      </c>
      <c r="H87" s="981">
        <v>1</v>
      </c>
      <c r="I87" s="981">
        <v>7</v>
      </c>
      <c r="J87" s="981"/>
      <c r="K87" s="981"/>
    </row>
    <row r="88" spans="1:11" x14ac:dyDescent="0.25">
      <c r="A88" s="981" t="s">
        <v>278</v>
      </c>
      <c r="B88" s="981" t="s">
        <v>48</v>
      </c>
      <c r="C88" s="981" t="s">
        <v>292</v>
      </c>
      <c r="D88" s="981">
        <v>16</v>
      </c>
      <c r="E88" s="981">
        <v>73.25</v>
      </c>
      <c r="F88" s="981">
        <v>5</v>
      </c>
      <c r="G88" s="981">
        <v>96.5</v>
      </c>
      <c r="H88" s="981">
        <v>1</v>
      </c>
      <c r="I88" s="981">
        <v>28.75</v>
      </c>
      <c r="J88" s="981"/>
      <c r="K88" s="981"/>
    </row>
    <row r="89" spans="1:11" x14ac:dyDescent="0.25">
      <c r="A89" s="981" t="s">
        <v>278</v>
      </c>
      <c r="B89" s="981" t="s">
        <v>49</v>
      </c>
      <c r="C89" s="981" t="s">
        <v>298</v>
      </c>
      <c r="D89" s="981">
        <v>212</v>
      </c>
      <c r="E89" s="981">
        <v>982.75</v>
      </c>
      <c r="F89" s="981">
        <v>18</v>
      </c>
      <c r="G89" s="981">
        <v>181.75</v>
      </c>
      <c r="H89" s="981"/>
      <c r="I89" s="981"/>
      <c r="J89" s="981"/>
      <c r="K89" s="981"/>
    </row>
    <row r="90" spans="1:11" x14ac:dyDescent="0.25">
      <c r="A90" s="981" t="s">
        <v>278</v>
      </c>
      <c r="B90" s="981" t="s">
        <v>50</v>
      </c>
      <c r="C90" s="981" t="s">
        <v>315</v>
      </c>
      <c r="D90" s="981">
        <v>485</v>
      </c>
      <c r="E90" s="981">
        <v>2741.25</v>
      </c>
      <c r="F90" s="981">
        <v>11</v>
      </c>
      <c r="G90" s="981">
        <v>112</v>
      </c>
      <c r="H90" s="981"/>
      <c r="I90" s="981"/>
      <c r="J90" s="981"/>
      <c r="K90" s="981"/>
    </row>
    <row r="91" spans="1:11" x14ac:dyDescent="0.25">
      <c r="A91" s="981" t="s">
        <v>278</v>
      </c>
      <c r="B91" s="981" t="s">
        <v>51</v>
      </c>
      <c r="C91" s="981" t="s">
        <v>299</v>
      </c>
      <c r="D91" s="981">
        <v>24</v>
      </c>
      <c r="E91" s="981">
        <v>132.75</v>
      </c>
      <c r="F91" s="981">
        <v>5</v>
      </c>
      <c r="G91" s="981">
        <v>53.25</v>
      </c>
      <c r="H91" s="981"/>
      <c r="I91" s="981"/>
      <c r="J91" s="981"/>
      <c r="K91" s="981"/>
    </row>
    <row r="92" spans="1:11" x14ac:dyDescent="0.25">
      <c r="A92" s="981" t="s">
        <v>278</v>
      </c>
      <c r="B92" s="981" t="s">
        <v>52</v>
      </c>
      <c r="C92" s="981" t="s">
        <v>300</v>
      </c>
      <c r="D92" s="981">
        <v>279</v>
      </c>
      <c r="E92" s="981">
        <v>1366.25</v>
      </c>
      <c r="F92" s="981">
        <v>8</v>
      </c>
      <c r="G92" s="981">
        <v>59.5</v>
      </c>
      <c r="H92" s="981"/>
      <c r="I92" s="981"/>
      <c r="J92" s="981"/>
      <c r="K92" s="981"/>
    </row>
    <row r="93" spans="1:11" x14ac:dyDescent="0.25">
      <c r="A93" s="981" t="s">
        <v>278</v>
      </c>
      <c r="B93" s="981" t="s">
        <v>53</v>
      </c>
      <c r="C93" s="981" t="s">
        <v>310</v>
      </c>
      <c r="D93" s="981">
        <v>164</v>
      </c>
      <c r="E93" s="981">
        <v>1078.5</v>
      </c>
      <c r="F93" s="981">
        <v>5</v>
      </c>
      <c r="G93" s="981">
        <v>60</v>
      </c>
      <c r="H93" s="981"/>
      <c r="I93" s="981"/>
      <c r="J93" s="981"/>
      <c r="K93" s="981"/>
    </row>
    <row r="94" spans="1:11" x14ac:dyDescent="0.25">
      <c r="A94" s="981" t="s">
        <v>278</v>
      </c>
      <c r="B94" s="981" t="s">
        <v>54</v>
      </c>
      <c r="C94" s="981" t="s">
        <v>301</v>
      </c>
      <c r="D94" s="981">
        <v>243</v>
      </c>
      <c r="E94" s="981">
        <v>1093.5</v>
      </c>
      <c r="F94" s="981">
        <v>42</v>
      </c>
      <c r="G94" s="981">
        <v>392.75</v>
      </c>
      <c r="H94" s="981">
        <v>1</v>
      </c>
      <c r="I94" s="981">
        <v>32</v>
      </c>
      <c r="J94" s="981">
        <v>1</v>
      </c>
      <c r="K94" s="981">
        <v>6.5</v>
      </c>
    </row>
    <row r="95" spans="1:11" x14ac:dyDescent="0.25">
      <c r="A95" s="981" t="s">
        <v>278</v>
      </c>
      <c r="B95" s="981" t="s">
        <v>55</v>
      </c>
      <c r="C95" s="981" t="s">
        <v>302</v>
      </c>
      <c r="D95" s="981">
        <v>14</v>
      </c>
      <c r="E95" s="981">
        <v>67</v>
      </c>
      <c r="F95" s="981">
        <v>2</v>
      </c>
      <c r="G95" s="981">
        <v>22</v>
      </c>
      <c r="H95" s="981"/>
      <c r="I95" s="981"/>
      <c r="J95" s="981">
        <v>3</v>
      </c>
      <c r="K95" s="981">
        <v>24</v>
      </c>
    </row>
    <row r="96" spans="1:11" x14ac:dyDescent="0.25">
      <c r="A96" s="981" t="s">
        <v>278</v>
      </c>
      <c r="B96" s="981" t="s">
        <v>56</v>
      </c>
      <c r="C96" s="981" t="s">
        <v>303</v>
      </c>
      <c r="D96" s="981">
        <v>294</v>
      </c>
      <c r="E96" s="981">
        <v>1861.5</v>
      </c>
      <c r="F96" s="981">
        <v>16</v>
      </c>
      <c r="G96" s="981">
        <v>121.75</v>
      </c>
      <c r="H96" s="981">
        <v>1</v>
      </c>
      <c r="I96" s="981">
        <v>17.25</v>
      </c>
      <c r="J96" s="981"/>
      <c r="K96" s="981"/>
    </row>
    <row r="97" spans="1:11" x14ac:dyDescent="0.25">
      <c r="A97" s="981" t="s">
        <v>278</v>
      </c>
      <c r="B97" s="981" t="s">
        <v>57</v>
      </c>
      <c r="C97" s="981" t="s">
        <v>304</v>
      </c>
      <c r="D97" s="981">
        <v>243</v>
      </c>
      <c r="E97" s="981">
        <v>1452.5</v>
      </c>
      <c r="F97" s="981">
        <v>8</v>
      </c>
      <c r="G97" s="981">
        <v>235.75</v>
      </c>
      <c r="H97" s="981">
        <v>1</v>
      </c>
      <c r="I97" s="981">
        <v>72.25</v>
      </c>
      <c r="J97" s="981"/>
      <c r="K97" s="981"/>
    </row>
    <row r="98" spans="1:11" x14ac:dyDescent="0.25">
      <c r="A98" s="981" t="s">
        <v>278</v>
      </c>
      <c r="B98" s="981" t="s">
        <v>58</v>
      </c>
      <c r="C98" s="981" t="s">
        <v>305</v>
      </c>
      <c r="D98" s="981">
        <v>146</v>
      </c>
      <c r="E98" s="981">
        <v>598.5</v>
      </c>
      <c r="F98" s="981">
        <v>14</v>
      </c>
      <c r="G98" s="981">
        <v>101.25</v>
      </c>
      <c r="H98" s="981"/>
      <c r="I98" s="981"/>
      <c r="J98" s="981"/>
      <c r="K98" s="981"/>
    </row>
    <row r="99" spans="1:11" x14ac:dyDescent="0.25">
      <c r="A99" s="981" t="s">
        <v>278</v>
      </c>
      <c r="B99" s="981" t="s">
        <v>59</v>
      </c>
      <c r="C99" s="981" t="s">
        <v>311</v>
      </c>
      <c r="D99" s="981">
        <v>118</v>
      </c>
      <c r="E99" s="981">
        <v>596.75</v>
      </c>
      <c r="F99" s="981">
        <v>3</v>
      </c>
      <c r="G99" s="981">
        <v>39.25</v>
      </c>
      <c r="H99" s="981"/>
      <c r="I99" s="981"/>
      <c r="J99" s="981"/>
      <c r="K99" s="981"/>
    </row>
    <row r="100" spans="1:11" x14ac:dyDescent="0.25">
      <c r="A100" s="981" t="s">
        <v>278</v>
      </c>
      <c r="B100" s="981" t="s">
        <v>60</v>
      </c>
      <c r="C100" s="981" t="s">
        <v>312</v>
      </c>
      <c r="D100" s="981">
        <v>155</v>
      </c>
      <c r="E100" s="981">
        <v>749</v>
      </c>
      <c r="F100" s="981">
        <v>22</v>
      </c>
      <c r="G100" s="981">
        <v>164.25</v>
      </c>
      <c r="H100" s="981"/>
      <c r="I100" s="981"/>
      <c r="J100" s="981"/>
      <c r="K100" s="981"/>
    </row>
    <row r="101" spans="1:11" x14ac:dyDescent="0.25">
      <c r="A101" s="981" t="s">
        <v>259</v>
      </c>
      <c r="B101" s="981" t="s">
        <v>31</v>
      </c>
      <c r="C101" s="981" t="s">
        <v>306</v>
      </c>
      <c r="D101" s="981">
        <v>294</v>
      </c>
      <c r="E101" s="981">
        <v>1570.5</v>
      </c>
      <c r="F101" s="981">
        <v>21</v>
      </c>
      <c r="G101" s="981">
        <v>212.25</v>
      </c>
      <c r="H101" s="981">
        <v>2</v>
      </c>
      <c r="I101" s="981">
        <v>57.5</v>
      </c>
      <c r="J101" s="981">
        <v>1</v>
      </c>
      <c r="K101" s="981">
        <v>3.5</v>
      </c>
    </row>
    <row r="102" spans="1:11" x14ac:dyDescent="0.25">
      <c r="A102" s="981" t="s">
        <v>259</v>
      </c>
      <c r="B102" s="981" t="s">
        <v>32</v>
      </c>
      <c r="C102" s="981" t="s">
        <v>307</v>
      </c>
      <c r="D102" s="981">
        <v>317</v>
      </c>
      <c r="E102" s="981">
        <v>2121</v>
      </c>
      <c r="F102" s="981">
        <v>27</v>
      </c>
      <c r="G102" s="981">
        <v>291.25</v>
      </c>
      <c r="H102" s="981"/>
      <c r="I102" s="981"/>
      <c r="J102" s="981">
        <v>1</v>
      </c>
      <c r="K102" s="981">
        <v>23.25</v>
      </c>
    </row>
    <row r="103" spans="1:11" x14ac:dyDescent="0.25">
      <c r="A103" s="981" t="s">
        <v>259</v>
      </c>
      <c r="B103" s="981" t="s">
        <v>33</v>
      </c>
      <c r="C103" s="981" t="s">
        <v>313</v>
      </c>
      <c r="D103" s="981">
        <v>99</v>
      </c>
      <c r="E103" s="981">
        <v>422.25</v>
      </c>
      <c r="F103" s="981">
        <v>20</v>
      </c>
      <c r="G103" s="981">
        <v>92.5</v>
      </c>
      <c r="H103" s="981">
        <v>2</v>
      </c>
      <c r="I103" s="981">
        <v>11</v>
      </c>
      <c r="J103" s="981">
        <v>1</v>
      </c>
      <c r="K103" s="981">
        <v>7.5</v>
      </c>
    </row>
    <row r="104" spans="1:11" x14ac:dyDescent="0.25">
      <c r="A104" s="981" t="s">
        <v>259</v>
      </c>
      <c r="B104" s="981" t="s">
        <v>34</v>
      </c>
      <c r="C104" s="981" t="s">
        <v>308</v>
      </c>
      <c r="D104" s="981">
        <v>171</v>
      </c>
      <c r="E104" s="981">
        <v>1143.75</v>
      </c>
      <c r="F104" s="981">
        <v>14</v>
      </c>
      <c r="G104" s="981">
        <v>157.75</v>
      </c>
      <c r="H104" s="981">
        <v>1</v>
      </c>
      <c r="I104" s="981">
        <v>14.5</v>
      </c>
      <c r="J104" s="981"/>
      <c r="K104" s="981"/>
    </row>
    <row r="105" spans="1:11" x14ac:dyDescent="0.25">
      <c r="A105" s="981" t="s">
        <v>259</v>
      </c>
      <c r="B105" s="981" t="s">
        <v>262</v>
      </c>
      <c r="C105" s="981" t="s">
        <v>309</v>
      </c>
      <c r="D105" s="981">
        <v>707</v>
      </c>
      <c r="E105" s="981">
        <v>2618.75</v>
      </c>
      <c r="F105" s="981">
        <v>37</v>
      </c>
      <c r="G105" s="981">
        <v>234.5</v>
      </c>
      <c r="H105" s="981"/>
      <c r="I105" s="981"/>
      <c r="J105" s="981">
        <v>4</v>
      </c>
      <c r="K105" s="981">
        <v>10</v>
      </c>
    </row>
    <row r="106" spans="1:11" x14ac:dyDescent="0.25">
      <c r="A106" s="981" t="s">
        <v>259</v>
      </c>
      <c r="B106" s="981" t="s">
        <v>35</v>
      </c>
      <c r="C106" s="981" t="s">
        <v>287</v>
      </c>
      <c r="D106" s="981">
        <v>56</v>
      </c>
      <c r="E106" s="981">
        <v>253.5</v>
      </c>
      <c r="F106" s="981">
        <v>8</v>
      </c>
      <c r="G106" s="981">
        <v>36.75</v>
      </c>
      <c r="H106" s="981"/>
      <c r="I106" s="981"/>
      <c r="J106" s="981">
        <v>1</v>
      </c>
      <c r="K106" s="981">
        <v>10.25</v>
      </c>
    </row>
    <row r="107" spans="1:11" x14ac:dyDescent="0.25">
      <c r="A107" s="981" t="s">
        <v>259</v>
      </c>
      <c r="B107" s="981" t="s">
        <v>36</v>
      </c>
      <c r="C107" s="981" t="s">
        <v>288</v>
      </c>
      <c r="D107" s="981">
        <v>346</v>
      </c>
      <c r="E107" s="981">
        <v>1646</v>
      </c>
      <c r="F107" s="981">
        <v>33</v>
      </c>
      <c r="G107" s="981">
        <v>312.25</v>
      </c>
      <c r="H107" s="981"/>
      <c r="I107" s="981"/>
      <c r="J107" s="981"/>
      <c r="K107" s="981"/>
    </row>
    <row r="108" spans="1:11" x14ac:dyDescent="0.25">
      <c r="A108" s="981" t="s">
        <v>259</v>
      </c>
      <c r="B108" s="981" t="s">
        <v>37</v>
      </c>
      <c r="C108" s="981" t="s">
        <v>314</v>
      </c>
      <c r="D108" s="981">
        <v>299</v>
      </c>
      <c r="E108" s="981">
        <v>1117.25</v>
      </c>
      <c r="F108" s="981">
        <v>7</v>
      </c>
      <c r="G108" s="981">
        <v>57.75</v>
      </c>
      <c r="H108" s="981"/>
      <c r="I108" s="981"/>
      <c r="J108" s="981">
        <v>1</v>
      </c>
      <c r="K108" s="981">
        <v>7</v>
      </c>
    </row>
    <row r="109" spans="1:11" x14ac:dyDescent="0.25">
      <c r="A109" s="981" t="s">
        <v>259</v>
      </c>
      <c r="B109" s="981" t="s">
        <v>38</v>
      </c>
      <c r="C109" s="981" t="s">
        <v>289</v>
      </c>
      <c r="D109" s="981">
        <v>155</v>
      </c>
      <c r="E109" s="981">
        <v>975</v>
      </c>
      <c r="F109" s="981">
        <v>10</v>
      </c>
      <c r="G109" s="981">
        <v>143</v>
      </c>
      <c r="H109" s="981">
        <v>1</v>
      </c>
      <c r="I109" s="981">
        <v>51.75</v>
      </c>
      <c r="J109" s="981"/>
      <c r="K109" s="981"/>
    </row>
    <row r="110" spans="1:11" x14ac:dyDescent="0.25">
      <c r="A110" s="981" t="s">
        <v>259</v>
      </c>
      <c r="B110" s="981" t="s">
        <v>39</v>
      </c>
      <c r="C110" s="981" t="s">
        <v>316</v>
      </c>
      <c r="D110" s="981">
        <v>86</v>
      </c>
      <c r="E110" s="981">
        <v>611</v>
      </c>
      <c r="F110" s="981">
        <v>6</v>
      </c>
      <c r="G110" s="981">
        <v>67.25</v>
      </c>
      <c r="H110" s="981"/>
      <c r="I110" s="981"/>
      <c r="J110" s="981"/>
      <c r="K110" s="981"/>
    </row>
    <row r="111" spans="1:11" x14ac:dyDescent="0.25">
      <c r="A111" s="981" t="s">
        <v>259</v>
      </c>
      <c r="B111" s="981" t="s">
        <v>40</v>
      </c>
      <c r="C111" s="981" t="s">
        <v>290</v>
      </c>
      <c r="D111" s="981">
        <v>138</v>
      </c>
      <c r="E111" s="981">
        <v>536.5</v>
      </c>
      <c r="F111" s="981">
        <v>6</v>
      </c>
      <c r="G111" s="981">
        <v>35.75</v>
      </c>
      <c r="H111" s="981"/>
      <c r="I111" s="981"/>
      <c r="J111" s="981"/>
      <c r="K111" s="981"/>
    </row>
    <row r="112" spans="1:11" x14ac:dyDescent="0.25">
      <c r="A112" s="981" t="s">
        <v>259</v>
      </c>
      <c r="B112" s="981" t="s">
        <v>41</v>
      </c>
      <c r="C112" s="981" t="s">
        <v>291</v>
      </c>
      <c r="D112" s="981">
        <v>27</v>
      </c>
      <c r="E112" s="981">
        <v>236.5</v>
      </c>
      <c r="F112" s="981">
        <v>3</v>
      </c>
      <c r="G112" s="981">
        <v>49.75</v>
      </c>
      <c r="H112" s="981"/>
      <c r="I112" s="981"/>
      <c r="J112" s="981"/>
      <c r="K112" s="981"/>
    </row>
    <row r="113" spans="1:11" x14ac:dyDescent="0.25">
      <c r="A113" s="981" t="s">
        <v>259</v>
      </c>
      <c r="B113" s="981" t="s">
        <v>42</v>
      </c>
      <c r="C113" s="981" t="s">
        <v>293</v>
      </c>
      <c r="D113" s="981">
        <v>148</v>
      </c>
      <c r="E113" s="981">
        <v>843</v>
      </c>
      <c r="F113" s="981">
        <v>11</v>
      </c>
      <c r="G113" s="981">
        <v>143.25</v>
      </c>
      <c r="H113" s="981"/>
      <c r="I113" s="981"/>
      <c r="J113" s="981"/>
      <c r="K113" s="981"/>
    </row>
    <row r="114" spans="1:11" x14ac:dyDescent="0.25">
      <c r="A114" s="981" t="s">
        <v>259</v>
      </c>
      <c r="B114" s="981" t="s">
        <v>43</v>
      </c>
      <c r="C114" s="981" t="s">
        <v>441</v>
      </c>
      <c r="D114" s="981">
        <v>450</v>
      </c>
      <c r="E114" s="981">
        <v>1686.5</v>
      </c>
      <c r="F114" s="981">
        <v>14</v>
      </c>
      <c r="G114" s="981">
        <v>150.5</v>
      </c>
      <c r="H114" s="981">
        <v>2</v>
      </c>
      <c r="I114" s="981">
        <v>38.75</v>
      </c>
      <c r="J114" s="981">
        <v>2</v>
      </c>
      <c r="K114" s="981">
        <v>19.5</v>
      </c>
    </row>
    <row r="115" spans="1:11" x14ac:dyDescent="0.25">
      <c r="A115" s="981" t="s">
        <v>259</v>
      </c>
      <c r="B115" s="981" t="s">
        <v>124</v>
      </c>
      <c r="C115" s="981" t="s">
        <v>317</v>
      </c>
      <c r="D115" s="981">
        <v>1125</v>
      </c>
      <c r="E115" s="981">
        <v>4472.75</v>
      </c>
      <c r="F115" s="981">
        <v>62</v>
      </c>
      <c r="G115" s="981">
        <v>403</v>
      </c>
      <c r="H115" s="981"/>
      <c r="I115" s="981"/>
      <c r="J115" s="981"/>
      <c r="K115" s="981"/>
    </row>
    <row r="116" spans="1:11" x14ac:dyDescent="0.25">
      <c r="A116" s="981" t="s">
        <v>259</v>
      </c>
      <c r="B116" s="981" t="s">
        <v>44</v>
      </c>
      <c r="C116" s="981" t="s">
        <v>294</v>
      </c>
      <c r="D116" s="981">
        <v>227</v>
      </c>
      <c r="E116" s="981">
        <v>1333</v>
      </c>
      <c r="F116" s="981">
        <v>59</v>
      </c>
      <c r="G116" s="981">
        <v>1064.25</v>
      </c>
      <c r="H116" s="981">
        <v>6</v>
      </c>
      <c r="I116" s="981">
        <v>232</v>
      </c>
      <c r="J116" s="981">
        <v>4</v>
      </c>
      <c r="K116" s="981">
        <v>38.5</v>
      </c>
    </row>
    <row r="117" spans="1:11" x14ac:dyDescent="0.25">
      <c r="A117" s="981" t="s">
        <v>259</v>
      </c>
      <c r="B117" s="981" t="s">
        <v>45</v>
      </c>
      <c r="C117" s="981" t="s">
        <v>295</v>
      </c>
      <c r="D117" s="981">
        <v>57</v>
      </c>
      <c r="E117" s="981">
        <v>256.5</v>
      </c>
      <c r="F117" s="981">
        <v>8</v>
      </c>
      <c r="G117" s="981">
        <v>62</v>
      </c>
      <c r="H117" s="981"/>
      <c r="I117" s="981"/>
      <c r="J117" s="981"/>
      <c r="K117" s="981"/>
    </row>
    <row r="118" spans="1:11" x14ac:dyDescent="0.25">
      <c r="A118" s="981" t="s">
        <v>259</v>
      </c>
      <c r="B118" s="981" t="s">
        <v>46</v>
      </c>
      <c r="C118" s="981" t="s">
        <v>296</v>
      </c>
      <c r="D118" s="981">
        <v>94</v>
      </c>
      <c r="E118" s="981">
        <v>477.5</v>
      </c>
      <c r="F118" s="981">
        <v>1</v>
      </c>
      <c r="G118" s="981">
        <v>4.25</v>
      </c>
      <c r="H118" s="981"/>
      <c r="I118" s="981"/>
      <c r="J118" s="981"/>
      <c r="K118" s="981"/>
    </row>
    <row r="119" spans="1:11" x14ac:dyDescent="0.25">
      <c r="A119" s="981" t="s">
        <v>259</v>
      </c>
      <c r="B119" s="981" t="s">
        <v>47</v>
      </c>
      <c r="C119" s="981" t="s">
        <v>297</v>
      </c>
      <c r="D119" s="981">
        <v>207</v>
      </c>
      <c r="E119" s="981">
        <v>1131.25</v>
      </c>
      <c r="F119" s="981">
        <v>9</v>
      </c>
      <c r="G119" s="981">
        <v>130.75</v>
      </c>
      <c r="H119" s="981"/>
      <c r="I119" s="981"/>
      <c r="J119" s="981"/>
      <c r="K119" s="981"/>
    </row>
    <row r="120" spans="1:11" x14ac:dyDescent="0.25">
      <c r="A120" s="981" t="s">
        <v>259</v>
      </c>
      <c r="B120" s="981" t="s">
        <v>48</v>
      </c>
      <c r="C120" s="981" t="s">
        <v>292</v>
      </c>
      <c r="D120" s="981">
        <v>19</v>
      </c>
      <c r="E120" s="981">
        <v>163.25</v>
      </c>
      <c r="F120" s="981">
        <v>4</v>
      </c>
      <c r="G120" s="981">
        <v>93.25</v>
      </c>
      <c r="H120" s="981">
        <v>1</v>
      </c>
      <c r="I120" s="981">
        <v>60</v>
      </c>
      <c r="J120" s="981"/>
      <c r="K120" s="981"/>
    </row>
    <row r="121" spans="1:11" x14ac:dyDescent="0.25">
      <c r="A121" s="981" t="s">
        <v>259</v>
      </c>
      <c r="B121" s="981" t="s">
        <v>49</v>
      </c>
      <c r="C121" s="981" t="s">
        <v>298</v>
      </c>
      <c r="D121" s="981">
        <v>94</v>
      </c>
      <c r="E121" s="981">
        <v>542.75</v>
      </c>
      <c r="F121" s="981">
        <v>8</v>
      </c>
      <c r="G121" s="981">
        <v>85.75</v>
      </c>
      <c r="H121" s="981"/>
      <c r="I121" s="981"/>
      <c r="J121" s="981"/>
      <c r="K121" s="981"/>
    </row>
    <row r="122" spans="1:11" x14ac:dyDescent="0.25">
      <c r="A122" s="981" t="s">
        <v>259</v>
      </c>
      <c r="B122" s="981" t="s">
        <v>50</v>
      </c>
      <c r="C122" s="981" t="s">
        <v>315</v>
      </c>
      <c r="D122" s="981">
        <v>344</v>
      </c>
      <c r="E122" s="981">
        <v>1826.5</v>
      </c>
      <c r="F122" s="981">
        <v>7</v>
      </c>
      <c r="G122" s="981">
        <v>65.5</v>
      </c>
      <c r="H122" s="981"/>
      <c r="I122" s="981"/>
      <c r="J122" s="981"/>
      <c r="K122" s="981"/>
    </row>
    <row r="123" spans="1:11" x14ac:dyDescent="0.25">
      <c r="A123" s="981" t="s">
        <v>259</v>
      </c>
      <c r="B123" s="981" t="s">
        <v>51</v>
      </c>
      <c r="C123" s="981" t="s">
        <v>299</v>
      </c>
      <c r="D123" s="981">
        <v>10</v>
      </c>
      <c r="E123" s="981">
        <v>46.75</v>
      </c>
      <c r="F123" s="981">
        <v>3</v>
      </c>
      <c r="G123" s="981">
        <v>44.25</v>
      </c>
      <c r="H123" s="981"/>
      <c r="I123" s="981"/>
      <c r="J123" s="981"/>
      <c r="K123" s="981"/>
    </row>
    <row r="124" spans="1:11" x14ac:dyDescent="0.25">
      <c r="A124" s="981" t="s">
        <v>259</v>
      </c>
      <c r="B124" s="981" t="s">
        <v>52</v>
      </c>
      <c r="C124" s="981" t="s">
        <v>300</v>
      </c>
      <c r="D124" s="981">
        <v>284</v>
      </c>
      <c r="E124" s="981">
        <v>1240.75</v>
      </c>
      <c r="F124" s="981">
        <v>9</v>
      </c>
      <c r="G124" s="981">
        <v>81.25</v>
      </c>
      <c r="H124" s="981"/>
      <c r="I124" s="981"/>
      <c r="J124" s="981"/>
      <c r="K124" s="981"/>
    </row>
    <row r="125" spans="1:11" x14ac:dyDescent="0.25">
      <c r="A125" s="981" t="s">
        <v>259</v>
      </c>
      <c r="B125" s="981" t="s">
        <v>53</v>
      </c>
      <c r="C125" s="981" t="s">
        <v>310</v>
      </c>
      <c r="D125" s="981">
        <v>82</v>
      </c>
      <c r="E125" s="981">
        <v>508.5</v>
      </c>
      <c r="F125" s="981">
        <v>9</v>
      </c>
      <c r="G125" s="981">
        <v>126</v>
      </c>
      <c r="H125" s="981"/>
      <c r="I125" s="981"/>
      <c r="J125" s="981"/>
      <c r="K125" s="981"/>
    </row>
    <row r="126" spans="1:11" x14ac:dyDescent="0.25">
      <c r="A126" s="981" t="s">
        <v>259</v>
      </c>
      <c r="B126" s="981" t="s">
        <v>54</v>
      </c>
      <c r="C126" s="981" t="s">
        <v>301</v>
      </c>
      <c r="D126" s="981">
        <v>218</v>
      </c>
      <c r="E126" s="981">
        <v>1084.25</v>
      </c>
      <c r="F126" s="981">
        <v>13</v>
      </c>
      <c r="G126" s="981">
        <v>97.75</v>
      </c>
      <c r="H126" s="981"/>
      <c r="I126" s="981"/>
      <c r="J126" s="981"/>
      <c r="K126" s="981"/>
    </row>
    <row r="127" spans="1:11" x14ac:dyDescent="0.25">
      <c r="A127" s="981" t="s">
        <v>259</v>
      </c>
      <c r="B127" s="981" t="s">
        <v>55</v>
      </c>
      <c r="C127" s="981" t="s">
        <v>302</v>
      </c>
      <c r="D127" s="981">
        <v>22</v>
      </c>
      <c r="E127" s="981">
        <v>189</v>
      </c>
      <c r="F127" s="981">
        <v>1</v>
      </c>
      <c r="G127" s="981">
        <v>8</v>
      </c>
      <c r="H127" s="981"/>
      <c r="I127" s="981"/>
      <c r="J127" s="981">
        <v>1</v>
      </c>
      <c r="K127" s="981">
        <v>3.5</v>
      </c>
    </row>
    <row r="128" spans="1:11" x14ac:dyDescent="0.25">
      <c r="A128" s="981" t="s">
        <v>259</v>
      </c>
      <c r="B128" s="981" t="s">
        <v>56</v>
      </c>
      <c r="C128" s="981" t="s">
        <v>303</v>
      </c>
      <c r="D128" s="981">
        <v>310</v>
      </c>
      <c r="E128" s="981">
        <v>1986.75</v>
      </c>
      <c r="F128" s="981">
        <v>9</v>
      </c>
      <c r="G128" s="981">
        <v>68.75</v>
      </c>
      <c r="H128" s="981"/>
      <c r="I128" s="981"/>
      <c r="J128" s="981"/>
      <c r="K128" s="981"/>
    </row>
    <row r="129" spans="1:11" x14ac:dyDescent="0.25">
      <c r="A129" s="981" t="s">
        <v>259</v>
      </c>
      <c r="B129" s="981" t="s">
        <v>57</v>
      </c>
      <c r="C129" s="981" t="s">
        <v>304</v>
      </c>
      <c r="D129" s="981">
        <v>321</v>
      </c>
      <c r="E129" s="981">
        <v>1386.5</v>
      </c>
      <c r="F129" s="981">
        <v>12</v>
      </c>
      <c r="G129" s="981">
        <v>171.5</v>
      </c>
      <c r="H129" s="981"/>
      <c r="I129" s="981"/>
      <c r="J129" s="981"/>
      <c r="K129" s="981"/>
    </row>
    <row r="130" spans="1:11" x14ac:dyDescent="0.25">
      <c r="A130" s="981" t="s">
        <v>259</v>
      </c>
      <c r="B130" s="981" t="s">
        <v>58</v>
      </c>
      <c r="C130" s="981" t="s">
        <v>305</v>
      </c>
      <c r="D130" s="981">
        <v>203</v>
      </c>
      <c r="E130" s="981">
        <v>910.5</v>
      </c>
      <c r="F130" s="981">
        <v>21</v>
      </c>
      <c r="G130" s="981">
        <v>135.5</v>
      </c>
      <c r="H130" s="981"/>
      <c r="I130" s="981"/>
      <c r="J130" s="981">
        <v>1</v>
      </c>
      <c r="K130" s="981">
        <v>5.5</v>
      </c>
    </row>
    <row r="131" spans="1:11" x14ac:dyDescent="0.25">
      <c r="A131" s="981" t="s">
        <v>259</v>
      </c>
      <c r="B131" s="981" t="s">
        <v>59</v>
      </c>
      <c r="C131" s="981" t="s">
        <v>311</v>
      </c>
      <c r="D131" s="981">
        <v>100</v>
      </c>
      <c r="E131" s="981">
        <v>682.75</v>
      </c>
      <c r="F131" s="981">
        <v>9</v>
      </c>
      <c r="G131" s="981">
        <v>115.25</v>
      </c>
      <c r="H131" s="981"/>
      <c r="I131" s="981"/>
      <c r="J131" s="981"/>
      <c r="K131" s="981"/>
    </row>
    <row r="132" spans="1:11" x14ac:dyDescent="0.25">
      <c r="A132" s="981" t="s">
        <v>259</v>
      </c>
      <c r="B132" s="981" t="s">
        <v>60</v>
      </c>
      <c r="C132" s="981" t="s">
        <v>312</v>
      </c>
      <c r="D132" s="981">
        <v>157</v>
      </c>
      <c r="E132" s="981">
        <v>667.75</v>
      </c>
      <c r="F132" s="981">
        <v>7</v>
      </c>
      <c r="G132" s="981">
        <v>40.5</v>
      </c>
      <c r="H132" s="981"/>
      <c r="I132" s="981"/>
      <c r="J132" s="981"/>
      <c r="K132" s="981"/>
    </row>
    <row r="133" spans="1:11" x14ac:dyDescent="0.25">
      <c r="A133" s="981" t="s">
        <v>258</v>
      </c>
      <c r="B133" s="981" t="s">
        <v>31</v>
      </c>
      <c r="C133" s="981" t="s">
        <v>306</v>
      </c>
      <c r="D133" s="981">
        <v>349</v>
      </c>
      <c r="E133" s="981">
        <v>2090</v>
      </c>
      <c r="F133" s="981">
        <v>15</v>
      </c>
      <c r="G133" s="981">
        <v>161</v>
      </c>
      <c r="H133" s="981"/>
      <c r="I133" s="981"/>
      <c r="J133" s="981">
        <v>2</v>
      </c>
      <c r="K133" s="981">
        <v>4.5</v>
      </c>
    </row>
    <row r="134" spans="1:11" x14ac:dyDescent="0.25">
      <c r="A134" s="981" t="s">
        <v>258</v>
      </c>
      <c r="B134" s="981" t="s">
        <v>32</v>
      </c>
      <c r="C134" s="981" t="s">
        <v>307</v>
      </c>
      <c r="D134" s="981">
        <v>344</v>
      </c>
      <c r="E134" s="981">
        <v>1895</v>
      </c>
      <c r="F134" s="981">
        <v>29</v>
      </c>
      <c r="G134" s="981">
        <v>240.5</v>
      </c>
      <c r="H134" s="981"/>
      <c r="I134" s="981"/>
      <c r="J134" s="981">
        <v>1</v>
      </c>
      <c r="K134" s="981">
        <v>7.5</v>
      </c>
    </row>
    <row r="135" spans="1:11" x14ac:dyDescent="0.25">
      <c r="A135" s="981" t="s">
        <v>258</v>
      </c>
      <c r="B135" s="981" t="s">
        <v>33</v>
      </c>
      <c r="C135" s="981" t="s">
        <v>313</v>
      </c>
      <c r="D135" s="981">
        <v>115</v>
      </c>
      <c r="E135" s="981">
        <v>476.75</v>
      </c>
      <c r="F135" s="981">
        <v>11</v>
      </c>
      <c r="G135" s="981">
        <v>49.5</v>
      </c>
      <c r="H135" s="981">
        <v>1</v>
      </c>
      <c r="I135" s="981">
        <v>6</v>
      </c>
      <c r="J135" s="981"/>
      <c r="K135" s="981"/>
    </row>
    <row r="136" spans="1:11" x14ac:dyDescent="0.25">
      <c r="A136" s="981" t="s">
        <v>258</v>
      </c>
      <c r="B136" s="981" t="s">
        <v>34</v>
      </c>
      <c r="C136" s="981" t="s">
        <v>308</v>
      </c>
      <c r="D136" s="981">
        <v>205</v>
      </c>
      <c r="E136" s="981">
        <v>1662</v>
      </c>
      <c r="F136" s="981">
        <v>15</v>
      </c>
      <c r="G136" s="981">
        <v>154.75</v>
      </c>
      <c r="H136" s="981"/>
      <c r="I136" s="981"/>
      <c r="J136" s="981"/>
      <c r="K136" s="981"/>
    </row>
    <row r="137" spans="1:11" x14ac:dyDescent="0.25">
      <c r="A137" s="981" t="s">
        <v>258</v>
      </c>
      <c r="B137" s="981" t="s">
        <v>262</v>
      </c>
      <c r="C137" s="981" t="s">
        <v>309</v>
      </c>
      <c r="D137" s="981">
        <v>672</v>
      </c>
      <c r="E137" s="981">
        <v>2918.5</v>
      </c>
      <c r="F137" s="981">
        <v>42</v>
      </c>
      <c r="G137" s="981">
        <v>362.75</v>
      </c>
      <c r="H137" s="981">
        <v>5</v>
      </c>
      <c r="I137" s="981">
        <v>63.5</v>
      </c>
      <c r="J137" s="981">
        <v>4</v>
      </c>
      <c r="K137" s="981">
        <v>16</v>
      </c>
    </row>
    <row r="138" spans="1:11" x14ac:dyDescent="0.25">
      <c r="A138" s="981" t="s">
        <v>258</v>
      </c>
      <c r="B138" s="981" t="s">
        <v>35</v>
      </c>
      <c r="C138" s="981" t="s">
        <v>287</v>
      </c>
      <c r="D138" s="981">
        <v>69</v>
      </c>
      <c r="E138" s="981">
        <v>332.5</v>
      </c>
      <c r="F138" s="981">
        <v>1</v>
      </c>
      <c r="G138" s="981">
        <v>8.5</v>
      </c>
      <c r="H138" s="981"/>
      <c r="I138" s="981"/>
      <c r="J138" s="981"/>
      <c r="K138" s="981"/>
    </row>
    <row r="139" spans="1:11" x14ac:dyDescent="0.25">
      <c r="A139" s="981" t="s">
        <v>258</v>
      </c>
      <c r="B139" s="981" t="s">
        <v>36</v>
      </c>
      <c r="C139" s="981" t="s">
        <v>288</v>
      </c>
      <c r="D139" s="981">
        <v>420</v>
      </c>
      <c r="E139" s="981">
        <v>2070.25</v>
      </c>
      <c r="F139" s="981">
        <v>20</v>
      </c>
      <c r="G139" s="981">
        <v>205.5</v>
      </c>
      <c r="H139" s="981">
        <v>2</v>
      </c>
      <c r="I139" s="981">
        <v>17</v>
      </c>
      <c r="J139" s="981"/>
      <c r="K139" s="981"/>
    </row>
    <row r="140" spans="1:11" x14ac:dyDescent="0.25">
      <c r="A140" s="981" t="s">
        <v>258</v>
      </c>
      <c r="B140" s="981" t="s">
        <v>37</v>
      </c>
      <c r="C140" s="981" t="s">
        <v>314</v>
      </c>
      <c r="D140" s="981">
        <v>371</v>
      </c>
      <c r="E140" s="981">
        <v>1559.5</v>
      </c>
      <c r="F140" s="981">
        <v>10</v>
      </c>
      <c r="G140" s="981">
        <v>90.75</v>
      </c>
      <c r="H140" s="981"/>
      <c r="I140" s="981"/>
      <c r="J140" s="981">
        <v>3</v>
      </c>
      <c r="K140" s="981">
        <v>23.5</v>
      </c>
    </row>
    <row r="141" spans="1:11" x14ac:dyDescent="0.25">
      <c r="A141" s="981" t="s">
        <v>258</v>
      </c>
      <c r="B141" s="981" t="s">
        <v>38</v>
      </c>
      <c r="C141" s="981" t="s">
        <v>289</v>
      </c>
      <c r="D141" s="981">
        <v>138</v>
      </c>
      <c r="E141" s="981">
        <v>837.25</v>
      </c>
      <c r="F141" s="981">
        <v>7</v>
      </c>
      <c r="G141" s="981">
        <v>59</v>
      </c>
      <c r="H141" s="981"/>
      <c r="I141" s="981"/>
      <c r="J141" s="981"/>
      <c r="K141" s="981"/>
    </row>
    <row r="142" spans="1:11" x14ac:dyDescent="0.25">
      <c r="A142" s="981" t="s">
        <v>258</v>
      </c>
      <c r="B142" s="981" t="s">
        <v>39</v>
      </c>
      <c r="C142" s="981" t="s">
        <v>316</v>
      </c>
      <c r="D142" s="981">
        <v>82</v>
      </c>
      <c r="E142" s="981">
        <v>447.75</v>
      </c>
      <c r="F142" s="981">
        <v>2</v>
      </c>
      <c r="G142" s="981">
        <v>30</v>
      </c>
      <c r="H142" s="981"/>
      <c r="I142" s="981"/>
      <c r="J142" s="981"/>
      <c r="K142" s="981"/>
    </row>
    <row r="143" spans="1:11" x14ac:dyDescent="0.25">
      <c r="A143" s="981" t="s">
        <v>258</v>
      </c>
      <c r="B143" s="981" t="s">
        <v>40</v>
      </c>
      <c r="C143" s="981" t="s">
        <v>290</v>
      </c>
      <c r="D143" s="981">
        <v>144</v>
      </c>
      <c r="E143" s="981">
        <v>567.25</v>
      </c>
      <c r="F143" s="981">
        <v>5</v>
      </c>
      <c r="G143" s="981">
        <v>34.5</v>
      </c>
      <c r="H143" s="981"/>
      <c r="I143" s="981"/>
      <c r="J143" s="981"/>
      <c r="K143" s="981"/>
    </row>
    <row r="144" spans="1:11" x14ac:dyDescent="0.25">
      <c r="A144" s="981" t="s">
        <v>258</v>
      </c>
      <c r="B144" s="981" t="s">
        <v>41</v>
      </c>
      <c r="C144" s="981" t="s">
        <v>291</v>
      </c>
      <c r="D144" s="981">
        <v>34</v>
      </c>
      <c r="E144" s="981">
        <v>234</v>
      </c>
      <c r="F144" s="981">
        <v>2</v>
      </c>
      <c r="G144" s="981">
        <v>18.75</v>
      </c>
      <c r="H144" s="981"/>
      <c r="I144" s="981"/>
      <c r="J144" s="981"/>
      <c r="K144" s="981"/>
    </row>
    <row r="145" spans="1:11" x14ac:dyDescent="0.25">
      <c r="A145" s="981" t="s">
        <v>258</v>
      </c>
      <c r="B145" s="981" t="s">
        <v>42</v>
      </c>
      <c r="C145" s="981" t="s">
        <v>293</v>
      </c>
      <c r="D145" s="981">
        <v>201</v>
      </c>
      <c r="E145" s="981">
        <v>1063.25</v>
      </c>
      <c r="F145" s="981"/>
      <c r="G145" s="981"/>
      <c r="H145" s="981"/>
      <c r="I145" s="981"/>
      <c r="J145" s="981"/>
      <c r="K145" s="981"/>
    </row>
    <row r="146" spans="1:11" x14ac:dyDescent="0.25">
      <c r="A146" s="981" t="s">
        <v>258</v>
      </c>
      <c r="B146" s="981" t="s">
        <v>43</v>
      </c>
      <c r="C146" s="981" t="s">
        <v>441</v>
      </c>
      <c r="D146" s="981">
        <v>644</v>
      </c>
      <c r="E146" s="981">
        <v>2085.75</v>
      </c>
      <c r="F146" s="981">
        <v>13</v>
      </c>
      <c r="G146" s="981">
        <v>127</v>
      </c>
      <c r="H146" s="981">
        <v>2</v>
      </c>
      <c r="I146" s="981">
        <v>52</v>
      </c>
      <c r="J146" s="981"/>
      <c r="K146" s="981"/>
    </row>
    <row r="147" spans="1:11" x14ac:dyDescent="0.25">
      <c r="A147" s="981" t="s">
        <v>258</v>
      </c>
      <c r="B147" s="981" t="s">
        <v>124</v>
      </c>
      <c r="C147" s="981" t="s">
        <v>317</v>
      </c>
      <c r="D147" s="981">
        <v>1067</v>
      </c>
      <c r="E147" s="981">
        <v>4671</v>
      </c>
      <c r="F147" s="981">
        <v>59</v>
      </c>
      <c r="G147" s="981">
        <v>525.75</v>
      </c>
      <c r="H147" s="981">
        <v>3</v>
      </c>
      <c r="I147" s="981">
        <v>49.25</v>
      </c>
      <c r="J147" s="981"/>
      <c r="K147" s="981"/>
    </row>
    <row r="148" spans="1:11" x14ac:dyDescent="0.25">
      <c r="A148" s="981" t="s">
        <v>258</v>
      </c>
      <c r="B148" s="981" t="s">
        <v>44</v>
      </c>
      <c r="C148" s="981" t="s">
        <v>294</v>
      </c>
      <c r="D148" s="981">
        <v>172</v>
      </c>
      <c r="E148" s="981">
        <v>1061.75</v>
      </c>
      <c r="F148" s="981">
        <v>24</v>
      </c>
      <c r="G148" s="981">
        <v>392.5</v>
      </c>
      <c r="H148" s="981">
        <v>1</v>
      </c>
      <c r="I148" s="981">
        <v>70.75</v>
      </c>
      <c r="J148" s="981">
        <v>7</v>
      </c>
      <c r="K148" s="981">
        <v>123</v>
      </c>
    </row>
    <row r="149" spans="1:11" x14ac:dyDescent="0.25">
      <c r="A149" s="981" t="s">
        <v>258</v>
      </c>
      <c r="B149" s="981" t="s">
        <v>45</v>
      </c>
      <c r="C149" s="981" t="s">
        <v>295</v>
      </c>
      <c r="D149" s="981">
        <v>73</v>
      </c>
      <c r="E149" s="981">
        <v>338.75</v>
      </c>
      <c r="F149" s="981">
        <v>5</v>
      </c>
      <c r="G149" s="981">
        <v>63</v>
      </c>
      <c r="H149" s="981">
        <v>1</v>
      </c>
      <c r="I149" s="981">
        <v>33.25</v>
      </c>
      <c r="J149" s="981"/>
      <c r="K149" s="981"/>
    </row>
    <row r="150" spans="1:11" x14ac:dyDescent="0.25">
      <c r="A150" s="981" t="s">
        <v>258</v>
      </c>
      <c r="B150" s="981" t="s">
        <v>46</v>
      </c>
      <c r="C150" s="981" t="s">
        <v>296</v>
      </c>
      <c r="D150" s="981">
        <v>131</v>
      </c>
      <c r="E150" s="981">
        <v>878.5</v>
      </c>
      <c r="F150" s="981">
        <v>7</v>
      </c>
      <c r="G150" s="981">
        <v>91.25</v>
      </c>
      <c r="H150" s="981"/>
      <c r="I150" s="981"/>
      <c r="J150" s="981"/>
      <c r="K150" s="981"/>
    </row>
    <row r="151" spans="1:11" x14ac:dyDescent="0.25">
      <c r="A151" s="981" t="s">
        <v>258</v>
      </c>
      <c r="B151" s="981" t="s">
        <v>47</v>
      </c>
      <c r="C151" s="981" t="s">
        <v>297</v>
      </c>
      <c r="D151" s="981">
        <v>124</v>
      </c>
      <c r="E151" s="981">
        <v>579.75</v>
      </c>
      <c r="F151" s="981">
        <v>6</v>
      </c>
      <c r="G151" s="981">
        <v>75.25</v>
      </c>
      <c r="H151" s="981"/>
      <c r="I151" s="981"/>
      <c r="J151" s="981">
        <v>1</v>
      </c>
      <c r="K151" s="981"/>
    </row>
    <row r="152" spans="1:11" x14ac:dyDescent="0.25">
      <c r="A152" s="981" t="s">
        <v>258</v>
      </c>
      <c r="B152" s="981" t="s">
        <v>48</v>
      </c>
      <c r="C152" s="981" t="s">
        <v>292</v>
      </c>
      <c r="D152" s="981">
        <v>21</v>
      </c>
      <c r="E152" s="981">
        <v>73.5</v>
      </c>
      <c r="F152" s="981"/>
      <c r="G152" s="981"/>
      <c r="H152" s="981"/>
      <c r="I152" s="981"/>
      <c r="J152" s="981"/>
      <c r="K152" s="981"/>
    </row>
    <row r="153" spans="1:11" x14ac:dyDescent="0.25">
      <c r="A153" s="981" t="s">
        <v>258</v>
      </c>
      <c r="B153" s="981" t="s">
        <v>49</v>
      </c>
      <c r="C153" s="981" t="s">
        <v>298</v>
      </c>
      <c r="D153" s="981">
        <v>239</v>
      </c>
      <c r="E153" s="981">
        <v>1222.25</v>
      </c>
      <c r="F153" s="981">
        <v>5</v>
      </c>
      <c r="G153" s="981">
        <v>47</v>
      </c>
      <c r="H153" s="981"/>
      <c r="I153" s="981"/>
      <c r="J153" s="981"/>
      <c r="K153" s="981"/>
    </row>
    <row r="154" spans="1:11" x14ac:dyDescent="0.25">
      <c r="A154" s="981" t="s">
        <v>258</v>
      </c>
      <c r="B154" s="981" t="s">
        <v>50</v>
      </c>
      <c r="C154" s="981" t="s">
        <v>315</v>
      </c>
      <c r="D154" s="981">
        <v>294</v>
      </c>
      <c r="E154" s="981">
        <v>1348</v>
      </c>
      <c r="F154" s="981">
        <v>13</v>
      </c>
      <c r="G154" s="981">
        <v>182.75</v>
      </c>
      <c r="H154" s="981">
        <v>2</v>
      </c>
      <c r="I154" s="981">
        <v>68.75</v>
      </c>
      <c r="J154" s="981">
        <v>1</v>
      </c>
      <c r="K154" s="981">
        <v>63</v>
      </c>
    </row>
    <row r="155" spans="1:11" x14ac:dyDescent="0.25">
      <c r="A155" s="981" t="s">
        <v>258</v>
      </c>
      <c r="B155" s="981" t="s">
        <v>51</v>
      </c>
      <c r="C155" s="981" t="s">
        <v>299</v>
      </c>
      <c r="D155" s="981">
        <v>9</v>
      </c>
      <c r="E155" s="981">
        <v>42.5</v>
      </c>
      <c r="F155" s="981"/>
      <c r="G155" s="981"/>
      <c r="H155" s="981"/>
      <c r="I155" s="981"/>
      <c r="J155" s="981"/>
      <c r="K155" s="981"/>
    </row>
    <row r="156" spans="1:11" x14ac:dyDescent="0.25">
      <c r="A156" s="981" t="s">
        <v>258</v>
      </c>
      <c r="B156" s="981" t="s">
        <v>52</v>
      </c>
      <c r="C156" s="981" t="s">
        <v>300</v>
      </c>
      <c r="D156" s="981">
        <v>281</v>
      </c>
      <c r="E156" s="981">
        <v>1204.5</v>
      </c>
      <c r="F156" s="981">
        <v>12</v>
      </c>
      <c r="G156" s="981">
        <v>81</v>
      </c>
      <c r="H156" s="981">
        <v>1</v>
      </c>
      <c r="I156" s="981">
        <v>14.25</v>
      </c>
      <c r="J156" s="981"/>
      <c r="K156" s="981"/>
    </row>
    <row r="157" spans="1:11" x14ac:dyDescent="0.25">
      <c r="A157" s="981" t="s">
        <v>258</v>
      </c>
      <c r="B157" s="981" t="s">
        <v>53</v>
      </c>
      <c r="C157" s="981" t="s">
        <v>310</v>
      </c>
      <c r="D157" s="981">
        <v>163</v>
      </c>
      <c r="E157" s="981">
        <v>836</v>
      </c>
      <c r="F157" s="981">
        <v>6</v>
      </c>
      <c r="G157" s="981">
        <v>94</v>
      </c>
      <c r="H157" s="981"/>
      <c r="I157" s="981"/>
      <c r="J157" s="981"/>
      <c r="K157" s="981"/>
    </row>
    <row r="158" spans="1:11" x14ac:dyDescent="0.25">
      <c r="A158" s="981" t="s">
        <v>258</v>
      </c>
      <c r="B158" s="981" t="s">
        <v>54</v>
      </c>
      <c r="C158" s="981" t="s">
        <v>301</v>
      </c>
      <c r="D158" s="981">
        <v>202</v>
      </c>
      <c r="E158" s="981">
        <v>998.75</v>
      </c>
      <c r="F158" s="981">
        <v>17</v>
      </c>
      <c r="G158" s="981">
        <v>142.5</v>
      </c>
      <c r="H158" s="981"/>
      <c r="I158" s="981"/>
      <c r="J158" s="981"/>
      <c r="K158" s="981"/>
    </row>
    <row r="159" spans="1:11" x14ac:dyDescent="0.25">
      <c r="A159" s="981" t="s">
        <v>258</v>
      </c>
      <c r="B159" s="981" t="s">
        <v>55</v>
      </c>
      <c r="C159" s="981" t="s">
        <v>302</v>
      </c>
      <c r="D159" s="981">
        <v>14</v>
      </c>
      <c r="E159" s="981">
        <v>110.25</v>
      </c>
      <c r="F159" s="981">
        <v>2</v>
      </c>
      <c r="G159" s="981">
        <v>23.75</v>
      </c>
      <c r="H159" s="981"/>
      <c r="I159" s="981"/>
      <c r="J159" s="981"/>
      <c r="K159" s="981"/>
    </row>
    <row r="160" spans="1:11" x14ac:dyDescent="0.25">
      <c r="A160" s="981" t="s">
        <v>258</v>
      </c>
      <c r="B160" s="981" t="s">
        <v>56</v>
      </c>
      <c r="C160" s="981" t="s">
        <v>303</v>
      </c>
      <c r="D160" s="981">
        <v>216</v>
      </c>
      <c r="E160" s="981">
        <v>1373.25</v>
      </c>
      <c r="F160" s="981">
        <v>13</v>
      </c>
      <c r="G160" s="981">
        <v>108</v>
      </c>
      <c r="H160" s="981">
        <v>3</v>
      </c>
      <c r="I160" s="981">
        <v>44.25</v>
      </c>
      <c r="J160" s="981">
        <v>1</v>
      </c>
      <c r="K160" s="981"/>
    </row>
    <row r="161" spans="1:11" x14ac:dyDescent="0.25">
      <c r="A161" s="981" t="s">
        <v>258</v>
      </c>
      <c r="B161" s="981" t="s">
        <v>57</v>
      </c>
      <c r="C161" s="981" t="s">
        <v>304</v>
      </c>
      <c r="D161" s="981">
        <v>242</v>
      </c>
      <c r="E161" s="981">
        <v>1512.25</v>
      </c>
      <c r="F161" s="981">
        <v>10</v>
      </c>
      <c r="G161" s="981">
        <v>273</v>
      </c>
      <c r="H161" s="981">
        <v>1</v>
      </c>
      <c r="I161" s="981">
        <v>102.75</v>
      </c>
      <c r="J161" s="981"/>
      <c r="K161" s="981"/>
    </row>
    <row r="162" spans="1:11" x14ac:dyDescent="0.25">
      <c r="A162" s="981" t="s">
        <v>258</v>
      </c>
      <c r="B162" s="981" t="s">
        <v>58</v>
      </c>
      <c r="C162" s="981" t="s">
        <v>305</v>
      </c>
      <c r="D162" s="981">
        <v>190</v>
      </c>
      <c r="E162" s="981">
        <v>759</v>
      </c>
      <c r="F162" s="981">
        <v>3</v>
      </c>
      <c r="G162" s="981">
        <v>38.75</v>
      </c>
      <c r="H162" s="981"/>
      <c r="I162" s="981"/>
      <c r="J162" s="981"/>
      <c r="K162" s="981"/>
    </row>
    <row r="163" spans="1:11" x14ac:dyDescent="0.25">
      <c r="A163" s="981" t="s">
        <v>258</v>
      </c>
      <c r="B163" s="981" t="s">
        <v>59</v>
      </c>
      <c r="C163" s="981" t="s">
        <v>311</v>
      </c>
      <c r="D163" s="981">
        <v>74</v>
      </c>
      <c r="E163" s="981">
        <v>427</v>
      </c>
      <c r="F163" s="981">
        <v>5</v>
      </c>
      <c r="G163" s="981">
        <v>44.75</v>
      </c>
      <c r="H163" s="981"/>
      <c r="I163" s="981"/>
      <c r="J163" s="981"/>
      <c r="K163" s="981"/>
    </row>
    <row r="164" spans="1:11" x14ac:dyDescent="0.25">
      <c r="A164" s="981" t="s">
        <v>258</v>
      </c>
      <c r="B164" s="981" t="s">
        <v>60</v>
      </c>
      <c r="C164" s="981" t="s">
        <v>312</v>
      </c>
      <c r="D164" s="981">
        <v>208</v>
      </c>
      <c r="E164" s="981">
        <v>775.5</v>
      </c>
      <c r="F164" s="981">
        <v>5</v>
      </c>
      <c r="G164" s="981">
        <v>33.5</v>
      </c>
      <c r="H164" s="981"/>
      <c r="I164" s="981"/>
      <c r="J164" s="981"/>
      <c r="K164" s="981"/>
    </row>
  </sheetData>
  <pageMargins left="0.7" right="0.7" top="0.75" bottom="0.75" header="0.3" footer="0.3"/>
  <pageSetup paperSize="9" fitToHeight="50"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pageSetUpPr fitToPage="1"/>
  </sheetPr>
  <dimension ref="A4:C164"/>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3" x14ac:dyDescent="0.25">
      <c r="A4" s="980" t="s">
        <v>334</v>
      </c>
      <c r="B4" s="980" t="s">
        <v>883</v>
      </c>
      <c r="C4" s="980" t="s">
        <v>1057</v>
      </c>
    </row>
    <row r="5" spans="1:3" x14ac:dyDescent="0.25">
      <c r="A5" s="981" t="s">
        <v>206</v>
      </c>
      <c r="B5" s="981" t="s">
        <v>124</v>
      </c>
      <c r="C5" s="981">
        <v>1122</v>
      </c>
    </row>
    <row r="6" spans="1:3" x14ac:dyDescent="0.25">
      <c r="A6" s="981" t="s">
        <v>206</v>
      </c>
      <c r="B6" s="981" t="s">
        <v>262</v>
      </c>
      <c r="C6" s="981">
        <v>956</v>
      </c>
    </row>
    <row r="7" spans="1:3" x14ac:dyDescent="0.25">
      <c r="A7" s="981" t="s">
        <v>206</v>
      </c>
      <c r="B7" s="981" t="s">
        <v>43</v>
      </c>
      <c r="C7" s="981">
        <v>498</v>
      </c>
    </row>
    <row r="8" spans="1:3" x14ac:dyDescent="0.25">
      <c r="A8" s="981" t="s">
        <v>206</v>
      </c>
      <c r="B8" s="981" t="s">
        <v>37</v>
      </c>
      <c r="C8" s="981">
        <v>460</v>
      </c>
    </row>
    <row r="9" spans="1:3" x14ac:dyDescent="0.25">
      <c r="A9" s="981" t="s">
        <v>206</v>
      </c>
      <c r="B9" s="981" t="s">
        <v>54</v>
      </c>
      <c r="C9" s="981">
        <v>381</v>
      </c>
    </row>
    <row r="10" spans="1:3" x14ac:dyDescent="0.25">
      <c r="A10" s="981" t="s">
        <v>206</v>
      </c>
      <c r="B10" s="981" t="s">
        <v>31</v>
      </c>
      <c r="C10" s="981">
        <v>369</v>
      </c>
    </row>
    <row r="11" spans="1:3" x14ac:dyDescent="0.25">
      <c r="A11" s="981" t="s">
        <v>206</v>
      </c>
      <c r="B11" s="981" t="s">
        <v>50</v>
      </c>
      <c r="C11" s="981">
        <v>301</v>
      </c>
    </row>
    <row r="12" spans="1:3" x14ac:dyDescent="0.25">
      <c r="A12" s="981" t="s">
        <v>206</v>
      </c>
      <c r="B12" s="981" t="s">
        <v>57</v>
      </c>
      <c r="C12" s="981">
        <v>286</v>
      </c>
    </row>
    <row r="13" spans="1:3" x14ac:dyDescent="0.25">
      <c r="A13" s="981" t="s">
        <v>206</v>
      </c>
      <c r="B13" s="981" t="s">
        <v>44</v>
      </c>
      <c r="C13" s="981">
        <v>276</v>
      </c>
    </row>
    <row r="14" spans="1:3" x14ac:dyDescent="0.25">
      <c r="A14" s="981" t="s">
        <v>206</v>
      </c>
      <c r="B14" s="981" t="s">
        <v>32</v>
      </c>
      <c r="C14" s="981">
        <v>267</v>
      </c>
    </row>
    <row r="15" spans="1:3" x14ac:dyDescent="0.25">
      <c r="A15" s="981" t="s">
        <v>206</v>
      </c>
      <c r="B15" s="981" t="s">
        <v>34</v>
      </c>
      <c r="C15" s="981">
        <v>253</v>
      </c>
    </row>
    <row r="16" spans="1:3" x14ac:dyDescent="0.25">
      <c r="A16" s="981" t="s">
        <v>206</v>
      </c>
      <c r="B16" s="981" t="s">
        <v>52</v>
      </c>
      <c r="C16" s="981">
        <v>247</v>
      </c>
    </row>
    <row r="17" spans="1:3" x14ac:dyDescent="0.25">
      <c r="A17" s="981" t="s">
        <v>206</v>
      </c>
      <c r="B17" s="981" t="s">
        <v>56</v>
      </c>
      <c r="C17" s="981">
        <v>247</v>
      </c>
    </row>
    <row r="18" spans="1:3" x14ac:dyDescent="0.25">
      <c r="A18" s="981" t="s">
        <v>206</v>
      </c>
      <c r="B18" s="981" t="s">
        <v>42</v>
      </c>
      <c r="C18" s="981">
        <v>243</v>
      </c>
    </row>
    <row r="19" spans="1:3" x14ac:dyDescent="0.25">
      <c r="A19" s="981" t="s">
        <v>206</v>
      </c>
      <c r="B19" s="981" t="s">
        <v>60</v>
      </c>
      <c r="C19" s="981">
        <v>238</v>
      </c>
    </row>
    <row r="20" spans="1:3" x14ac:dyDescent="0.25">
      <c r="A20" s="981" t="s">
        <v>206</v>
      </c>
      <c r="B20" s="981" t="s">
        <v>58</v>
      </c>
      <c r="C20" s="981">
        <v>217</v>
      </c>
    </row>
    <row r="21" spans="1:3" x14ac:dyDescent="0.25">
      <c r="A21" s="981" t="s">
        <v>206</v>
      </c>
      <c r="B21" s="981" t="s">
        <v>53</v>
      </c>
      <c r="C21" s="981">
        <v>215</v>
      </c>
    </row>
    <row r="22" spans="1:3" x14ac:dyDescent="0.25">
      <c r="A22" s="981" t="s">
        <v>206</v>
      </c>
      <c r="B22" s="981" t="s">
        <v>36</v>
      </c>
      <c r="C22" s="981">
        <v>213</v>
      </c>
    </row>
    <row r="23" spans="1:3" x14ac:dyDescent="0.25">
      <c r="A23" s="981" t="s">
        <v>206</v>
      </c>
      <c r="B23" s="981" t="s">
        <v>33</v>
      </c>
      <c r="C23" s="981">
        <v>206</v>
      </c>
    </row>
    <row r="24" spans="1:3" x14ac:dyDescent="0.25">
      <c r="A24" s="981" t="s">
        <v>206</v>
      </c>
      <c r="B24" s="981" t="s">
        <v>38</v>
      </c>
      <c r="C24" s="981">
        <v>153</v>
      </c>
    </row>
    <row r="25" spans="1:3" x14ac:dyDescent="0.25">
      <c r="A25" s="981" t="s">
        <v>206</v>
      </c>
      <c r="B25" s="981" t="s">
        <v>45</v>
      </c>
      <c r="C25" s="981">
        <v>147</v>
      </c>
    </row>
    <row r="26" spans="1:3" x14ac:dyDescent="0.25">
      <c r="A26" s="981" t="s">
        <v>206</v>
      </c>
      <c r="B26" s="981" t="s">
        <v>46</v>
      </c>
      <c r="C26" s="981">
        <v>126</v>
      </c>
    </row>
    <row r="27" spans="1:3" x14ac:dyDescent="0.25">
      <c r="A27" s="981" t="s">
        <v>206</v>
      </c>
      <c r="B27" s="981" t="s">
        <v>41</v>
      </c>
      <c r="C27" s="981">
        <v>119</v>
      </c>
    </row>
    <row r="28" spans="1:3" x14ac:dyDescent="0.25">
      <c r="A28" s="981" t="s">
        <v>206</v>
      </c>
      <c r="B28" s="981" t="s">
        <v>47</v>
      </c>
      <c r="C28" s="981">
        <v>114</v>
      </c>
    </row>
    <row r="29" spans="1:3" x14ac:dyDescent="0.25">
      <c r="A29" s="981" t="s">
        <v>206</v>
      </c>
      <c r="B29" s="981" t="s">
        <v>49</v>
      </c>
      <c r="C29" s="981">
        <v>109</v>
      </c>
    </row>
    <row r="30" spans="1:3" x14ac:dyDescent="0.25">
      <c r="A30" s="981" t="s">
        <v>206</v>
      </c>
      <c r="B30" s="981" t="s">
        <v>40</v>
      </c>
      <c r="C30" s="981">
        <v>102</v>
      </c>
    </row>
    <row r="31" spans="1:3" x14ac:dyDescent="0.25">
      <c r="A31" s="981" t="s">
        <v>206</v>
      </c>
      <c r="B31" s="981" t="s">
        <v>39</v>
      </c>
      <c r="C31" s="981">
        <v>54</v>
      </c>
    </row>
    <row r="32" spans="1:3" x14ac:dyDescent="0.25">
      <c r="A32" s="981" t="s">
        <v>206</v>
      </c>
      <c r="B32" s="981" t="s">
        <v>35</v>
      </c>
      <c r="C32" s="981">
        <v>44</v>
      </c>
    </row>
    <row r="33" spans="1:3" x14ac:dyDescent="0.25">
      <c r="A33" s="981" t="s">
        <v>206</v>
      </c>
      <c r="B33" s="981" t="s">
        <v>48</v>
      </c>
      <c r="C33" s="981">
        <v>19</v>
      </c>
    </row>
    <row r="34" spans="1:3" x14ac:dyDescent="0.25">
      <c r="A34" s="981" t="s">
        <v>206</v>
      </c>
      <c r="B34" s="981" t="s">
        <v>55</v>
      </c>
      <c r="C34" s="981"/>
    </row>
    <row r="35" spans="1:3" x14ac:dyDescent="0.25">
      <c r="A35" s="981" t="s">
        <v>206</v>
      </c>
      <c r="B35" s="981" t="s">
        <v>51</v>
      </c>
      <c r="C35" s="981"/>
    </row>
    <row r="36" spans="1:3" x14ac:dyDescent="0.25">
      <c r="A36" s="981" t="s">
        <v>206</v>
      </c>
      <c r="B36" s="981" t="s">
        <v>59</v>
      </c>
      <c r="C36" s="981"/>
    </row>
    <row r="37" spans="1:3" x14ac:dyDescent="0.25">
      <c r="A37" s="981" t="s">
        <v>205</v>
      </c>
      <c r="B37" s="981" t="s">
        <v>124</v>
      </c>
      <c r="C37" s="981">
        <v>1956</v>
      </c>
    </row>
    <row r="38" spans="1:3" x14ac:dyDescent="0.25">
      <c r="A38" s="981" t="s">
        <v>205</v>
      </c>
      <c r="B38" s="981" t="s">
        <v>262</v>
      </c>
      <c r="C38" s="981">
        <v>857</v>
      </c>
    </row>
    <row r="39" spans="1:3" x14ac:dyDescent="0.25">
      <c r="A39" s="981" t="s">
        <v>205</v>
      </c>
      <c r="B39" s="981" t="s">
        <v>43</v>
      </c>
      <c r="C39" s="981">
        <v>618</v>
      </c>
    </row>
    <row r="40" spans="1:3" x14ac:dyDescent="0.25">
      <c r="A40" s="981" t="s">
        <v>205</v>
      </c>
      <c r="B40" s="981" t="s">
        <v>37</v>
      </c>
      <c r="C40" s="981">
        <v>598</v>
      </c>
    </row>
    <row r="41" spans="1:3" x14ac:dyDescent="0.25">
      <c r="A41" s="981" t="s">
        <v>205</v>
      </c>
      <c r="B41" s="981" t="s">
        <v>50</v>
      </c>
      <c r="C41" s="981">
        <v>554</v>
      </c>
    </row>
    <row r="42" spans="1:3" x14ac:dyDescent="0.25">
      <c r="A42" s="981" t="s">
        <v>205</v>
      </c>
      <c r="B42" s="981" t="s">
        <v>32</v>
      </c>
      <c r="C42" s="981">
        <v>373</v>
      </c>
    </row>
    <row r="43" spans="1:3" x14ac:dyDescent="0.25">
      <c r="A43" s="981" t="s">
        <v>205</v>
      </c>
      <c r="B43" s="981" t="s">
        <v>34</v>
      </c>
      <c r="C43" s="981">
        <v>341</v>
      </c>
    </row>
    <row r="44" spans="1:3" x14ac:dyDescent="0.25">
      <c r="A44" s="981" t="s">
        <v>205</v>
      </c>
      <c r="B44" s="981" t="s">
        <v>58</v>
      </c>
      <c r="C44" s="981">
        <v>340</v>
      </c>
    </row>
    <row r="45" spans="1:3" x14ac:dyDescent="0.25">
      <c r="A45" s="981" t="s">
        <v>205</v>
      </c>
      <c r="B45" s="981" t="s">
        <v>44</v>
      </c>
      <c r="C45" s="981">
        <v>336</v>
      </c>
    </row>
    <row r="46" spans="1:3" x14ac:dyDescent="0.25">
      <c r="A46" s="981" t="s">
        <v>205</v>
      </c>
      <c r="B46" s="981" t="s">
        <v>31</v>
      </c>
      <c r="C46" s="981">
        <v>315</v>
      </c>
    </row>
    <row r="47" spans="1:3" x14ac:dyDescent="0.25">
      <c r="A47" s="981" t="s">
        <v>205</v>
      </c>
      <c r="B47" s="981" t="s">
        <v>36</v>
      </c>
      <c r="C47" s="981">
        <v>296</v>
      </c>
    </row>
    <row r="48" spans="1:3" x14ac:dyDescent="0.25">
      <c r="A48" s="981" t="s">
        <v>205</v>
      </c>
      <c r="B48" s="981" t="s">
        <v>54</v>
      </c>
      <c r="C48" s="981">
        <v>290</v>
      </c>
    </row>
    <row r="49" spans="1:3" x14ac:dyDescent="0.25">
      <c r="A49" s="981" t="s">
        <v>205</v>
      </c>
      <c r="B49" s="981" t="s">
        <v>56</v>
      </c>
      <c r="C49" s="981">
        <v>288</v>
      </c>
    </row>
    <row r="50" spans="1:3" x14ac:dyDescent="0.25">
      <c r="A50" s="981" t="s">
        <v>205</v>
      </c>
      <c r="B50" s="981" t="s">
        <v>52</v>
      </c>
      <c r="C50" s="981">
        <v>270</v>
      </c>
    </row>
    <row r="51" spans="1:3" x14ac:dyDescent="0.25">
      <c r="A51" s="981" t="s">
        <v>205</v>
      </c>
      <c r="B51" s="981" t="s">
        <v>49</v>
      </c>
      <c r="C51" s="981">
        <v>263</v>
      </c>
    </row>
    <row r="52" spans="1:3" x14ac:dyDescent="0.25">
      <c r="A52" s="981" t="s">
        <v>205</v>
      </c>
      <c r="B52" s="981" t="s">
        <v>57</v>
      </c>
      <c r="C52" s="981">
        <v>250</v>
      </c>
    </row>
    <row r="53" spans="1:3" x14ac:dyDescent="0.25">
      <c r="A53" s="981" t="s">
        <v>205</v>
      </c>
      <c r="B53" s="981" t="s">
        <v>59</v>
      </c>
      <c r="C53" s="981">
        <v>220</v>
      </c>
    </row>
    <row r="54" spans="1:3" x14ac:dyDescent="0.25">
      <c r="A54" s="981" t="s">
        <v>205</v>
      </c>
      <c r="B54" s="981" t="s">
        <v>47</v>
      </c>
      <c r="C54" s="981">
        <v>193</v>
      </c>
    </row>
    <row r="55" spans="1:3" x14ac:dyDescent="0.25">
      <c r="A55" s="981" t="s">
        <v>205</v>
      </c>
      <c r="B55" s="981" t="s">
        <v>60</v>
      </c>
      <c r="C55" s="981">
        <v>176</v>
      </c>
    </row>
    <row r="56" spans="1:3" x14ac:dyDescent="0.25">
      <c r="A56" s="981" t="s">
        <v>205</v>
      </c>
      <c r="B56" s="981" t="s">
        <v>33</v>
      </c>
      <c r="C56" s="981">
        <v>174</v>
      </c>
    </row>
    <row r="57" spans="1:3" x14ac:dyDescent="0.25">
      <c r="A57" s="981" t="s">
        <v>205</v>
      </c>
      <c r="B57" s="981" t="s">
        <v>42</v>
      </c>
      <c r="C57" s="981">
        <v>160</v>
      </c>
    </row>
    <row r="58" spans="1:3" x14ac:dyDescent="0.25">
      <c r="A58" s="981" t="s">
        <v>205</v>
      </c>
      <c r="B58" s="981" t="s">
        <v>40</v>
      </c>
      <c r="C58" s="981">
        <v>156</v>
      </c>
    </row>
    <row r="59" spans="1:3" x14ac:dyDescent="0.25">
      <c r="A59" s="981" t="s">
        <v>205</v>
      </c>
      <c r="B59" s="981" t="s">
        <v>38</v>
      </c>
      <c r="C59" s="981">
        <v>143</v>
      </c>
    </row>
    <row r="60" spans="1:3" x14ac:dyDescent="0.25">
      <c r="A60" s="981" t="s">
        <v>205</v>
      </c>
      <c r="B60" s="981" t="s">
        <v>46</v>
      </c>
      <c r="C60" s="981">
        <v>98</v>
      </c>
    </row>
    <row r="61" spans="1:3" x14ac:dyDescent="0.25">
      <c r="A61" s="981" t="s">
        <v>205</v>
      </c>
      <c r="B61" s="981" t="s">
        <v>39</v>
      </c>
      <c r="C61" s="981">
        <v>95</v>
      </c>
    </row>
    <row r="62" spans="1:3" x14ac:dyDescent="0.25">
      <c r="A62" s="981" t="s">
        <v>205</v>
      </c>
      <c r="B62" s="981" t="s">
        <v>45</v>
      </c>
      <c r="C62" s="981">
        <v>63</v>
      </c>
    </row>
    <row r="63" spans="1:3" x14ac:dyDescent="0.25">
      <c r="A63" s="981" t="s">
        <v>205</v>
      </c>
      <c r="B63" s="981" t="s">
        <v>41</v>
      </c>
      <c r="C63" s="981">
        <v>57</v>
      </c>
    </row>
    <row r="64" spans="1:3" x14ac:dyDescent="0.25">
      <c r="A64" s="981" t="s">
        <v>205</v>
      </c>
      <c r="B64" s="981" t="s">
        <v>51</v>
      </c>
      <c r="C64" s="981">
        <v>32</v>
      </c>
    </row>
    <row r="65" spans="1:3" x14ac:dyDescent="0.25">
      <c r="A65" s="981" t="s">
        <v>205</v>
      </c>
      <c r="B65" s="981" t="s">
        <v>48</v>
      </c>
      <c r="C65" s="981">
        <v>9</v>
      </c>
    </row>
    <row r="66" spans="1:3" x14ac:dyDescent="0.25">
      <c r="A66" s="981" t="s">
        <v>205</v>
      </c>
      <c r="B66" s="981" t="s">
        <v>35</v>
      </c>
      <c r="C66" s="981"/>
    </row>
    <row r="67" spans="1:3" x14ac:dyDescent="0.25">
      <c r="A67" s="981" t="s">
        <v>205</v>
      </c>
      <c r="B67" s="981" t="s">
        <v>53</v>
      </c>
      <c r="C67" s="981"/>
    </row>
    <row r="68" spans="1:3" x14ac:dyDescent="0.25">
      <c r="A68" s="981" t="s">
        <v>205</v>
      </c>
      <c r="B68" s="981" t="s">
        <v>55</v>
      </c>
      <c r="C68" s="981"/>
    </row>
    <row r="69" spans="1:3" x14ac:dyDescent="0.25">
      <c r="A69" s="981" t="s">
        <v>278</v>
      </c>
      <c r="B69" s="981" t="s">
        <v>124</v>
      </c>
      <c r="C69" s="981">
        <v>1562</v>
      </c>
    </row>
    <row r="70" spans="1:3" x14ac:dyDescent="0.25">
      <c r="A70" s="981" t="s">
        <v>278</v>
      </c>
      <c r="B70" s="981" t="s">
        <v>262</v>
      </c>
      <c r="C70" s="981">
        <v>783</v>
      </c>
    </row>
    <row r="71" spans="1:3" x14ac:dyDescent="0.25">
      <c r="A71" s="981" t="s">
        <v>278</v>
      </c>
      <c r="B71" s="981" t="s">
        <v>37</v>
      </c>
      <c r="C71" s="981">
        <v>656</v>
      </c>
    </row>
    <row r="72" spans="1:3" x14ac:dyDescent="0.25">
      <c r="A72" s="981" t="s">
        <v>278</v>
      </c>
      <c r="B72" s="981" t="s">
        <v>50</v>
      </c>
      <c r="C72" s="981">
        <v>496</v>
      </c>
    </row>
    <row r="73" spans="1:3" x14ac:dyDescent="0.25">
      <c r="A73" s="981" t="s">
        <v>278</v>
      </c>
      <c r="B73" s="981" t="s">
        <v>43</v>
      </c>
      <c r="C73" s="981">
        <v>482</v>
      </c>
    </row>
    <row r="74" spans="1:3" x14ac:dyDescent="0.25">
      <c r="A74" s="981" t="s">
        <v>278</v>
      </c>
      <c r="B74" s="981" t="s">
        <v>31</v>
      </c>
      <c r="C74" s="981">
        <v>435</v>
      </c>
    </row>
    <row r="75" spans="1:3" x14ac:dyDescent="0.25">
      <c r="A75" s="981" t="s">
        <v>278</v>
      </c>
      <c r="B75" s="981" t="s">
        <v>36</v>
      </c>
      <c r="C75" s="981">
        <v>363</v>
      </c>
    </row>
    <row r="76" spans="1:3" x14ac:dyDescent="0.25">
      <c r="A76" s="981" t="s">
        <v>278</v>
      </c>
      <c r="B76" s="981" t="s">
        <v>32</v>
      </c>
      <c r="C76" s="981">
        <v>362</v>
      </c>
    </row>
    <row r="77" spans="1:3" x14ac:dyDescent="0.25">
      <c r="A77" s="981" t="s">
        <v>278</v>
      </c>
      <c r="B77" s="981" t="s">
        <v>34</v>
      </c>
      <c r="C77" s="981">
        <v>331</v>
      </c>
    </row>
    <row r="78" spans="1:3" x14ac:dyDescent="0.25">
      <c r="A78" s="981" t="s">
        <v>278</v>
      </c>
      <c r="B78" s="981" t="s">
        <v>56</v>
      </c>
      <c r="C78" s="981">
        <v>310</v>
      </c>
    </row>
    <row r="79" spans="1:3" x14ac:dyDescent="0.25">
      <c r="A79" s="981" t="s">
        <v>278</v>
      </c>
      <c r="B79" s="981" t="s">
        <v>52</v>
      </c>
      <c r="C79" s="981">
        <v>287</v>
      </c>
    </row>
    <row r="80" spans="1:3" x14ac:dyDescent="0.25">
      <c r="A80" s="981" t="s">
        <v>278</v>
      </c>
      <c r="B80" s="981" t="s">
        <v>54</v>
      </c>
      <c r="C80" s="981">
        <v>285</v>
      </c>
    </row>
    <row r="81" spans="1:3" x14ac:dyDescent="0.25">
      <c r="A81" s="981" t="s">
        <v>278</v>
      </c>
      <c r="B81" s="981" t="s">
        <v>44</v>
      </c>
      <c r="C81" s="981">
        <v>268</v>
      </c>
    </row>
    <row r="82" spans="1:3" x14ac:dyDescent="0.25">
      <c r="A82" s="981" t="s">
        <v>278</v>
      </c>
      <c r="B82" s="981" t="s">
        <v>57</v>
      </c>
      <c r="C82" s="981">
        <v>251</v>
      </c>
    </row>
    <row r="83" spans="1:3" x14ac:dyDescent="0.25">
      <c r="A83" s="981" t="s">
        <v>278</v>
      </c>
      <c r="B83" s="981" t="s">
        <v>49</v>
      </c>
      <c r="C83" s="981">
        <v>230</v>
      </c>
    </row>
    <row r="84" spans="1:3" x14ac:dyDescent="0.25">
      <c r="A84" s="981" t="s">
        <v>278</v>
      </c>
      <c r="B84" s="981" t="s">
        <v>60</v>
      </c>
      <c r="C84" s="981">
        <v>177</v>
      </c>
    </row>
    <row r="85" spans="1:3" x14ac:dyDescent="0.25">
      <c r="A85" s="981" t="s">
        <v>278</v>
      </c>
      <c r="B85" s="981" t="s">
        <v>53</v>
      </c>
      <c r="C85" s="981">
        <v>169</v>
      </c>
    </row>
    <row r="86" spans="1:3" x14ac:dyDescent="0.25">
      <c r="A86" s="981" t="s">
        <v>278</v>
      </c>
      <c r="B86" s="981" t="s">
        <v>38</v>
      </c>
      <c r="C86" s="981">
        <v>164</v>
      </c>
    </row>
    <row r="87" spans="1:3" x14ac:dyDescent="0.25">
      <c r="A87" s="981" t="s">
        <v>278</v>
      </c>
      <c r="B87" s="981" t="s">
        <v>58</v>
      </c>
      <c r="C87" s="981">
        <v>160</v>
      </c>
    </row>
    <row r="88" spans="1:3" x14ac:dyDescent="0.25">
      <c r="A88" s="981" t="s">
        <v>278</v>
      </c>
      <c r="B88" s="981" t="s">
        <v>42</v>
      </c>
      <c r="C88" s="981">
        <v>160</v>
      </c>
    </row>
    <row r="89" spans="1:3" x14ac:dyDescent="0.25">
      <c r="A89" s="981" t="s">
        <v>278</v>
      </c>
      <c r="B89" s="981" t="s">
        <v>47</v>
      </c>
      <c r="C89" s="981">
        <v>142</v>
      </c>
    </row>
    <row r="90" spans="1:3" x14ac:dyDescent="0.25">
      <c r="A90" s="981" t="s">
        <v>278</v>
      </c>
      <c r="B90" s="981" t="s">
        <v>40</v>
      </c>
      <c r="C90" s="981">
        <v>139</v>
      </c>
    </row>
    <row r="91" spans="1:3" x14ac:dyDescent="0.25">
      <c r="A91" s="981" t="s">
        <v>278</v>
      </c>
      <c r="B91" s="981" t="s">
        <v>59</v>
      </c>
      <c r="C91" s="981">
        <v>121</v>
      </c>
    </row>
    <row r="92" spans="1:3" x14ac:dyDescent="0.25">
      <c r="A92" s="981" t="s">
        <v>278</v>
      </c>
      <c r="B92" s="981" t="s">
        <v>45</v>
      </c>
      <c r="C92" s="981">
        <v>115</v>
      </c>
    </row>
    <row r="93" spans="1:3" x14ac:dyDescent="0.25">
      <c r="A93" s="981" t="s">
        <v>278</v>
      </c>
      <c r="B93" s="981" t="s">
        <v>33</v>
      </c>
      <c r="C93" s="981">
        <v>99</v>
      </c>
    </row>
    <row r="94" spans="1:3" x14ac:dyDescent="0.25">
      <c r="A94" s="981" t="s">
        <v>278</v>
      </c>
      <c r="B94" s="981" t="s">
        <v>46</v>
      </c>
      <c r="C94" s="981">
        <v>97</v>
      </c>
    </row>
    <row r="95" spans="1:3" x14ac:dyDescent="0.25">
      <c r="A95" s="981" t="s">
        <v>278</v>
      </c>
      <c r="B95" s="981" t="s">
        <v>39</v>
      </c>
      <c r="C95" s="981">
        <v>81</v>
      </c>
    </row>
    <row r="96" spans="1:3" x14ac:dyDescent="0.25">
      <c r="A96" s="981" t="s">
        <v>278</v>
      </c>
      <c r="B96" s="981" t="s">
        <v>41</v>
      </c>
      <c r="C96" s="981">
        <v>80</v>
      </c>
    </row>
    <row r="97" spans="1:3" x14ac:dyDescent="0.25">
      <c r="A97" s="981" t="s">
        <v>278</v>
      </c>
      <c r="B97" s="981" t="s">
        <v>35</v>
      </c>
      <c r="C97" s="981">
        <v>68</v>
      </c>
    </row>
    <row r="98" spans="1:3" x14ac:dyDescent="0.25">
      <c r="A98" s="981" t="s">
        <v>278</v>
      </c>
      <c r="B98" s="981" t="s">
        <v>51</v>
      </c>
      <c r="C98" s="981">
        <v>29</v>
      </c>
    </row>
    <row r="99" spans="1:3" x14ac:dyDescent="0.25">
      <c r="A99" s="981" t="s">
        <v>278</v>
      </c>
      <c r="B99" s="981" t="s">
        <v>48</v>
      </c>
      <c r="C99" s="981">
        <v>21</v>
      </c>
    </row>
    <row r="100" spans="1:3" x14ac:dyDescent="0.25">
      <c r="A100" s="981" t="s">
        <v>278</v>
      </c>
      <c r="B100" s="981" t="s">
        <v>55</v>
      </c>
      <c r="C100" s="981">
        <v>16</v>
      </c>
    </row>
    <row r="101" spans="1:3" x14ac:dyDescent="0.25">
      <c r="A101" s="981" t="s">
        <v>259</v>
      </c>
      <c r="B101" s="981" t="s">
        <v>124</v>
      </c>
      <c r="C101" s="981">
        <v>1187</v>
      </c>
    </row>
    <row r="102" spans="1:3" x14ac:dyDescent="0.25">
      <c r="A102" s="981" t="s">
        <v>259</v>
      </c>
      <c r="B102" s="981" t="s">
        <v>262</v>
      </c>
      <c r="C102" s="981">
        <v>744</v>
      </c>
    </row>
    <row r="103" spans="1:3" x14ac:dyDescent="0.25">
      <c r="A103" s="981" t="s">
        <v>259</v>
      </c>
      <c r="B103" s="981" t="s">
        <v>43</v>
      </c>
      <c r="C103" s="981">
        <v>464</v>
      </c>
    </row>
    <row r="104" spans="1:3" x14ac:dyDescent="0.25">
      <c r="A104" s="981" t="s">
        <v>259</v>
      </c>
      <c r="B104" s="981" t="s">
        <v>36</v>
      </c>
      <c r="C104" s="981">
        <v>379</v>
      </c>
    </row>
    <row r="105" spans="1:3" x14ac:dyDescent="0.25">
      <c r="A105" s="981" t="s">
        <v>259</v>
      </c>
      <c r="B105" s="981" t="s">
        <v>50</v>
      </c>
      <c r="C105" s="981">
        <v>351</v>
      </c>
    </row>
    <row r="106" spans="1:3" x14ac:dyDescent="0.25">
      <c r="A106" s="981" t="s">
        <v>259</v>
      </c>
      <c r="B106" s="981" t="s">
        <v>32</v>
      </c>
      <c r="C106" s="981">
        <v>344</v>
      </c>
    </row>
    <row r="107" spans="1:3" x14ac:dyDescent="0.25">
      <c r="A107" s="981" t="s">
        <v>259</v>
      </c>
      <c r="B107" s="981" t="s">
        <v>57</v>
      </c>
      <c r="C107" s="981">
        <v>333</v>
      </c>
    </row>
    <row r="108" spans="1:3" x14ac:dyDescent="0.25">
      <c r="A108" s="981" t="s">
        <v>259</v>
      </c>
      <c r="B108" s="981" t="s">
        <v>56</v>
      </c>
      <c r="C108" s="981">
        <v>319</v>
      </c>
    </row>
    <row r="109" spans="1:3" x14ac:dyDescent="0.25">
      <c r="A109" s="981" t="s">
        <v>259</v>
      </c>
      <c r="B109" s="981" t="s">
        <v>31</v>
      </c>
      <c r="C109" s="981">
        <v>315</v>
      </c>
    </row>
    <row r="110" spans="1:3" x14ac:dyDescent="0.25">
      <c r="A110" s="981" t="s">
        <v>259</v>
      </c>
      <c r="B110" s="981" t="s">
        <v>37</v>
      </c>
      <c r="C110" s="981">
        <v>306</v>
      </c>
    </row>
    <row r="111" spans="1:3" x14ac:dyDescent="0.25">
      <c r="A111" s="981" t="s">
        <v>259</v>
      </c>
      <c r="B111" s="981" t="s">
        <v>52</v>
      </c>
      <c r="C111" s="981">
        <v>293</v>
      </c>
    </row>
    <row r="112" spans="1:3" x14ac:dyDescent="0.25">
      <c r="A112" s="981" t="s">
        <v>259</v>
      </c>
      <c r="B112" s="981" t="s">
        <v>44</v>
      </c>
      <c r="C112" s="981">
        <v>286</v>
      </c>
    </row>
    <row r="113" spans="1:3" x14ac:dyDescent="0.25">
      <c r="A113" s="981" t="s">
        <v>259</v>
      </c>
      <c r="B113" s="981" t="s">
        <v>54</v>
      </c>
      <c r="C113" s="981">
        <v>231</v>
      </c>
    </row>
    <row r="114" spans="1:3" x14ac:dyDescent="0.25">
      <c r="A114" s="981" t="s">
        <v>259</v>
      </c>
      <c r="B114" s="981" t="s">
        <v>58</v>
      </c>
      <c r="C114" s="981">
        <v>224</v>
      </c>
    </row>
    <row r="115" spans="1:3" x14ac:dyDescent="0.25">
      <c r="A115" s="981" t="s">
        <v>259</v>
      </c>
      <c r="B115" s="981" t="s">
        <v>47</v>
      </c>
      <c r="C115" s="981">
        <v>216</v>
      </c>
    </row>
    <row r="116" spans="1:3" x14ac:dyDescent="0.25">
      <c r="A116" s="981" t="s">
        <v>259</v>
      </c>
      <c r="B116" s="981" t="s">
        <v>34</v>
      </c>
      <c r="C116" s="981">
        <v>185</v>
      </c>
    </row>
    <row r="117" spans="1:3" x14ac:dyDescent="0.25">
      <c r="A117" s="981" t="s">
        <v>259</v>
      </c>
      <c r="B117" s="981" t="s">
        <v>38</v>
      </c>
      <c r="C117" s="981">
        <v>165</v>
      </c>
    </row>
    <row r="118" spans="1:3" x14ac:dyDescent="0.25">
      <c r="A118" s="981" t="s">
        <v>259</v>
      </c>
      <c r="B118" s="981" t="s">
        <v>60</v>
      </c>
      <c r="C118" s="981">
        <v>164</v>
      </c>
    </row>
    <row r="119" spans="1:3" x14ac:dyDescent="0.25">
      <c r="A119" s="981" t="s">
        <v>259</v>
      </c>
      <c r="B119" s="981" t="s">
        <v>42</v>
      </c>
      <c r="C119" s="981">
        <v>159</v>
      </c>
    </row>
    <row r="120" spans="1:3" x14ac:dyDescent="0.25">
      <c r="A120" s="981" t="s">
        <v>259</v>
      </c>
      <c r="B120" s="981" t="s">
        <v>40</v>
      </c>
      <c r="C120" s="981">
        <v>144</v>
      </c>
    </row>
    <row r="121" spans="1:3" x14ac:dyDescent="0.25">
      <c r="A121" s="981" t="s">
        <v>259</v>
      </c>
      <c r="B121" s="981" t="s">
        <v>33</v>
      </c>
      <c r="C121" s="981">
        <v>119</v>
      </c>
    </row>
    <row r="122" spans="1:3" x14ac:dyDescent="0.25">
      <c r="A122" s="981" t="s">
        <v>259</v>
      </c>
      <c r="B122" s="981" t="s">
        <v>59</v>
      </c>
      <c r="C122" s="981">
        <v>109</v>
      </c>
    </row>
    <row r="123" spans="1:3" x14ac:dyDescent="0.25">
      <c r="A123" s="981" t="s">
        <v>259</v>
      </c>
      <c r="B123" s="981" t="s">
        <v>49</v>
      </c>
      <c r="C123" s="981">
        <v>102</v>
      </c>
    </row>
    <row r="124" spans="1:3" x14ac:dyDescent="0.25">
      <c r="A124" s="981" t="s">
        <v>259</v>
      </c>
      <c r="B124" s="981" t="s">
        <v>46</v>
      </c>
      <c r="C124" s="981">
        <v>95</v>
      </c>
    </row>
    <row r="125" spans="1:3" x14ac:dyDescent="0.25">
      <c r="A125" s="981" t="s">
        <v>259</v>
      </c>
      <c r="B125" s="981" t="s">
        <v>39</v>
      </c>
      <c r="C125" s="981">
        <v>92</v>
      </c>
    </row>
    <row r="126" spans="1:3" x14ac:dyDescent="0.25">
      <c r="A126" s="981" t="s">
        <v>259</v>
      </c>
      <c r="B126" s="981" t="s">
        <v>53</v>
      </c>
      <c r="C126" s="981">
        <v>91</v>
      </c>
    </row>
    <row r="127" spans="1:3" x14ac:dyDescent="0.25">
      <c r="A127" s="981" t="s">
        <v>259</v>
      </c>
      <c r="B127" s="981" t="s">
        <v>45</v>
      </c>
      <c r="C127" s="981">
        <v>65</v>
      </c>
    </row>
    <row r="128" spans="1:3" x14ac:dyDescent="0.25">
      <c r="A128" s="981" t="s">
        <v>259</v>
      </c>
      <c r="B128" s="981" t="s">
        <v>35</v>
      </c>
      <c r="C128" s="981">
        <v>64</v>
      </c>
    </row>
    <row r="129" spans="1:3" x14ac:dyDescent="0.25">
      <c r="A129" s="981" t="s">
        <v>259</v>
      </c>
      <c r="B129" s="981" t="s">
        <v>41</v>
      </c>
      <c r="C129" s="981">
        <v>30</v>
      </c>
    </row>
    <row r="130" spans="1:3" x14ac:dyDescent="0.25">
      <c r="A130" s="981" t="s">
        <v>259</v>
      </c>
      <c r="B130" s="981" t="s">
        <v>48</v>
      </c>
      <c r="C130" s="981">
        <v>23</v>
      </c>
    </row>
    <row r="131" spans="1:3" x14ac:dyDescent="0.25">
      <c r="A131" s="981" t="s">
        <v>259</v>
      </c>
      <c r="B131" s="981" t="s">
        <v>55</v>
      </c>
      <c r="C131" s="981">
        <v>23</v>
      </c>
    </row>
    <row r="132" spans="1:3" x14ac:dyDescent="0.25">
      <c r="A132" s="981" t="s">
        <v>259</v>
      </c>
      <c r="B132" s="981" t="s">
        <v>51</v>
      </c>
      <c r="C132" s="981">
        <v>13</v>
      </c>
    </row>
    <row r="133" spans="1:3" x14ac:dyDescent="0.25">
      <c r="A133" s="981" t="s">
        <v>258</v>
      </c>
      <c r="B133" s="981" t="s">
        <v>124</v>
      </c>
      <c r="C133" s="981">
        <v>1126</v>
      </c>
    </row>
    <row r="134" spans="1:3" x14ac:dyDescent="0.25">
      <c r="A134" s="981" t="s">
        <v>258</v>
      </c>
      <c r="B134" s="981" t="s">
        <v>262</v>
      </c>
      <c r="C134" s="981">
        <v>714</v>
      </c>
    </row>
    <row r="135" spans="1:3" x14ac:dyDescent="0.25">
      <c r="A135" s="981" t="s">
        <v>258</v>
      </c>
      <c r="B135" s="981" t="s">
        <v>43</v>
      </c>
      <c r="C135" s="981">
        <v>657</v>
      </c>
    </row>
    <row r="136" spans="1:3" x14ac:dyDescent="0.25">
      <c r="A136" s="981" t="s">
        <v>258</v>
      </c>
      <c r="B136" s="981" t="s">
        <v>36</v>
      </c>
      <c r="C136" s="981">
        <v>440</v>
      </c>
    </row>
    <row r="137" spans="1:3" x14ac:dyDescent="0.25">
      <c r="A137" s="981" t="s">
        <v>258</v>
      </c>
      <c r="B137" s="981" t="s">
        <v>37</v>
      </c>
      <c r="C137" s="981">
        <v>381</v>
      </c>
    </row>
    <row r="138" spans="1:3" x14ac:dyDescent="0.25">
      <c r="A138" s="981" t="s">
        <v>258</v>
      </c>
      <c r="B138" s="981" t="s">
        <v>32</v>
      </c>
      <c r="C138" s="981">
        <v>373</v>
      </c>
    </row>
    <row r="139" spans="1:3" x14ac:dyDescent="0.25">
      <c r="A139" s="981" t="s">
        <v>258</v>
      </c>
      <c r="B139" s="981" t="s">
        <v>31</v>
      </c>
      <c r="C139" s="981">
        <v>364</v>
      </c>
    </row>
    <row r="140" spans="1:3" x14ac:dyDescent="0.25">
      <c r="A140" s="981" t="s">
        <v>258</v>
      </c>
      <c r="B140" s="981" t="s">
        <v>50</v>
      </c>
      <c r="C140" s="981">
        <v>307</v>
      </c>
    </row>
    <row r="141" spans="1:3" x14ac:dyDescent="0.25">
      <c r="A141" s="981" t="s">
        <v>258</v>
      </c>
      <c r="B141" s="981" t="s">
        <v>52</v>
      </c>
      <c r="C141" s="981">
        <v>293</v>
      </c>
    </row>
    <row r="142" spans="1:3" x14ac:dyDescent="0.25">
      <c r="A142" s="981" t="s">
        <v>258</v>
      </c>
      <c r="B142" s="981" t="s">
        <v>57</v>
      </c>
      <c r="C142" s="981">
        <v>252</v>
      </c>
    </row>
    <row r="143" spans="1:3" x14ac:dyDescent="0.25">
      <c r="A143" s="981" t="s">
        <v>258</v>
      </c>
      <c r="B143" s="981" t="s">
        <v>49</v>
      </c>
      <c r="C143" s="981">
        <v>244</v>
      </c>
    </row>
    <row r="144" spans="1:3" x14ac:dyDescent="0.25">
      <c r="A144" s="981" t="s">
        <v>258</v>
      </c>
      <c r="B144" s="981" t="s">
        <v>56</v>
      </c>
      <c r="C144" s="981">
        <v>229</v>
      </c>
    </row>
    <row r="145" spans="1:3" x14ac:dyDescent="0.25">
      <c r="A145" s="981" t="s">
        <v>258</v>
      </c>
      <c r="B145" s="981" t="s">
        <v>34</v>
      </c>
      <c r="C145" s="981">
        <v>220</v>
      </c>
    </row>
    <row r="146" spans="1:3" x14ac:dyDescent="0.25">
      <c r="A146" s="981" t="s">
        <v>258</v>
      </c>
      <c r="B146" s="981" t="s">
        <v>54</v>
      </c>
      <c r="C146" s="981">
        <v>219</v>
      </c>
    </row>
    <row r="147" spans="1:3" x14ac:dyDescent="0.25">
      <c r="A147" s="981" t="s">
        <v>258</v>
      </c>
      <c r="B147" s="981" t="s">
        <v>60</v>
      </c>
      <c r="C147" s="981">
        <v>213</v>
      </c>
    </row>
    <row r="148" spans="1:3" x14ac:dyDescent="0.25">
      <c r="A148" s="981" t="s">
        <v>258</v>
      </c>
      <c r="B148" s="981" t="s">
        <v>44</v>
      </c>
      <c r="C148" s="981">
        <v>196</v>
      </c>
    </row>
    <row r="149" spans="1:3" x14ac:dyDescent="0.25">
      <c r="A149" s="981" t="s">
        <v>258</v>
      </c>
      <c r="B149" s="981" t="s">
        <v>58</v>
      </c>
      <c r="C149" s="981">
        <v>193</v>
      </c>
    </row>
    <row r="150" spans="1:3" x14ac:dyDescent="0.25">
      <c r="A150" s="981" t="s">
        <v>258</v>
      </c>
      <c r="B150" s="981" t="s">
        <v>53</v>
      </c>
      <c r="C150" s="981">
        <v>169</v>
      </c>
    </row>
    <row r="151" spans="1:3" x14ac:dyDescent="0.25">
      <c r="A151" s="981" t="s">
        <v>258</v>
      </c>
      <c r="B151" s="981" t="s">
        <v>40</v>
      </c>
      <c r="C151" s="981">
        <v>149</v>
      </c>
    </row>
    <row r="152" spans="1:3" x14ac:dyDescent="0.25">
      <c r="A152" s="981" t="s">
        <v>258</v>
      </c>
      <c r="B152" s="981" t="s">
        <v>38</v>
      </c>
      <c r="C152" s="981">
        <v>145</v>
      </c>
    </row>
    <row r="153" spans="1:3" x14ac:dyDescent="0.25">
      <c r="A153" s="981" t="s">
        <v>258</v>
      </c>
      <c r="B153" s="981" t="s">
        <v>46</v>
      </c>
      <c r="C153" s="981">
        <v>138</v>
      </c>
    </row>
    <row r="154" spans="1:3" x14ac:dyDescent="0.25">
      <c r="A154" s="981" t="s">
        <v>258</v>
      </c>
      <c r="B154" s="981" t="s">
        <v>47</v>
      </c>
      <c r="C154" s="981">
        <v>130</v>
      </c>
    </row>
    <row r="155" spans="1:3" x14ac:dyDescent="0.25">
      <c r="A155" s="981" t="s">
        <v>258</v>
      </c>
      <c r="B155" s="981" t="s">
        <v>33</v>
      </c>
      <c r="C155" s="981">
        <v>126</v>
      </c>
    </row>
    <row r="156" spans="1:3" x14ac:dyDescent="0.25">
      <c r="A156" s="981" t="s">
        <v>258</v>
      </c>
      <c r="B156" s="981" t="s">
        <v>39</v>
      </c>
      <c r="C156" s="981">
        <v>84</v>
      </c>
    </row>
    <row r="157" spans="1:3" x14ac:dyDescent="0.25">
      <c r="A157" s="981" t="s">
        <v>258</v>
      </c>
      <c r="B157" s="981" t="s">
        <v>59</v>
      </c>
      <c r="C157" s="981">
        <v>79</v>
      </c>
    </row>
    <row r="158" spans="1:3" x14ac:dyDescent="0.25">
      <c r="A158" s="981" t="s">
        <v>258</v>
      </c>
      <c r="B158" s="981" t="s">
        <v>45</v>
      </c>
      <c r="C158" s="981">
        <v>78</v>
      </c>
    </row>
    <row r="159" spans="1:3" x14ac:dyDescent="0.25">
      <c r="A159" s="981" t="s">
        <v>258</v>
      </c>
      <c r="B159" s="981" t="s">
        <v>35</v>
      </c>
      <c r="C159" s="981">
        <v>70</v>
      </c>
    </row>
    <row r="160" spans="1:3" x14ac:dyDescent="0.25">
      <c r="A160" s="981" t="s">
        <v>258</v>
      </c>
      <c r="B160" s="981" t="s">
        <v>41</v>
      </c>
      <c r="C160" s="981">
        <v>36</v>
      </c>
    </row>
    <row r="161" spans="1:3" x14ac:dyDescent="0.25">
      <c r="A161" s="981" t="s">
        <v>258</v>
      </c>
      <c r="B161" s="981" t="s">
        <v>55</v>
      </c>
      <c r="C161" s="981">
        <v>16</v>
      </c>
    </row>
    <row r="162" spans="1:3" x14ac:dyDescent="0.25">
      <c r="A162" s="981" t="s">
        <v>258</v>
      </c>
      <c r="B162" s="981" t="s">
        <v>51</v>
      </c>
      <c r="C162" s="981"/>
    </row>
    <row r="163" spans="1:3" x14ac:dyDescent="0.25">
      <c r="A163" s="981" t="s">
        <v>258</v>
      </c>
      <c r="B163" s="981" t="s">
        <v>42</v>
      </c>
      <c r="C163" s="981"/>
    </row>
    <row r="164" spans="1:3" x14ac:dyDescent="0.25">
      <c r="A164" s="981" t="s">
        <v>258</v>
      </c>
      <c r="B164" s="981" t="s">
        <v>48</v>
      </c>
      <c r="C164" s="981"/>
    </row>
  </sheetData>
  <pageMargins left="0.7" right="0.7" top="0.75" bottom="0.75" header="0.3" footer="0.3"/>
  <pageSetup paperSize="9" fitToHeight="50"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pageSetUpPr fitToPage="1"/>
  </sheetPr>
  <dimension ref="A4:I79"/>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9" x14ac:dyDescent="0.25">
      <c r="A4" s="980" t="s">
        <v>334</v>
      </c>
      <c r="B4" s="980" t="s">
        <v>1045</v>
      </c>
      <c r="C4" s="980" t="s">
        <v>1046</v>
      </c>
      <c r="D4" s="980" t="s">
        <v>26</v>
      </c>
      <c r="E4" s="980" t="s">
        <v>447</v>
      </c>
      <c r="F4" s="980" t="s">
        <v>450</v>
      </c>
      <c r="G4" s="980" t="s">
        <v>451</v>
      </c>
      <c r="H4" s="980" t="s">
        <v>1058</v>
      </c>
      <c r="I4" s="980" t="s">
        <v>1059</v>
      </c>
    </row>
    <row r="5" spans="1:9" x14ac:dyDescent="0.25">
      <c r="A5" s="981" t="s">
        <v>206</v>
      </c>
      <c r="B5" s="981" t="s">
        <v>442</v>
      </c>
      <c r="C5" s="981" t="s">
        <v>146</v>
      </c>
      <c r="D5" s="981">
        <v>334</v>
      </c>
      <c r="E5" s="981">
        <v>93</v>
      </c>
      <c r="F5" s="981">
        <v>14</v>
      </c>
      <c r="G5" s="981">
        <v>164</v>
      </c>
      <c r="H5" s="981">
        <v>60</v>
      </c>
      <c r="I5" s="981">
        <v>3</v>
      </c>
    </row>
    <row r="6" spans="1:9" x14ac:dyDescent="0.25">
      <c r="A6" s="981" t="s">
        <v>206</v>
      </c>
      <c r="B6" s="981" t="s">
        <v>443</v>
      </c>
      <c r="C6" s="981" t="s">
        <v>147</v>
      </c>
      <c r="D6" s="981">
        <v>1506</v>
      </c>
      <c r="E6" s="981">
        <v>191</v>
      </c>
      <c r="F6" s="981">
        <v>538</v>
      </c>
      <c r="G6" s="981">
        <v>711</v>
      </c>
      <c r="H6" s="981">
        <v>15</v>
      </c>
      <c r="I6" s="981">
        <v>51</v>
      </c>
    </row>
    <row r="7" spans="1:9" x14ac:dyDescent="0.25">
      <c r="A7" s="981" t="s">
        <v>206</v>
      </c>
      <c r="B7" s="981" t="s">
        <v>444</v>
      </c>
      <c r="C7" s="981" t="s">
        <v>163</v>
      </c>
      <c r="D7" s="981">
        <v>1947</v>
      </c>
      <c r="E7" s="981">
        <v>55</v>
      </c>
      <c r="F7" s="981">
        <v>247</v>
      </c>
      <c r="G7" s="981">
        <v>1599</v>
      </c>
      <c r="H7" s="981">
        <v>1</v>
      </c>
      <c r="I7" s="981">
        <v>45</v>
      </c>
    </row>
    <row r="8" spans="1:9" x14ac:dyDescent="0.25">
      <c r="A8" s="981" t="s">
        <v>206</v>
      </c>
      <c r="B8" s="981" t="s">
        <v>445</v>
      </c>
      <c r="C8" s="981" t="s">
        <v>148</v>
      </c>
      <c r="D8" s="981">
        <v>138</v>
      </c>
      <c r="E8" s="981">
        <v>83</v>
      </c>
      <c r="F8" s="981">
        <v>6</v>
      </c>
      <c r="G8" s="981">
        <v>37</v>
      </c>
      <c r="H8" s="981">
        <v>12</v>
      </c>
      <c r="I8" s="981"/>
    </row>
    <row r="9" spans="1:9" x14ac:dyDescent="0.25">
      <c r="A9" s="981" t="s">
        <v>206</v>
      </c>
      <c r="B9" s="981" t="s">
        <v>446</v>
      </c>
      <c r="C9" s="981" t="s">
        <v>149</v>
      </c>
      <c r="D9" s="981">
        <v>1109</v>
      </c>
      <c r="E9" s="981">
        <v>487</v>
      </c>
      <c r="F9" s="981">
        <v>18</v>
      </c>
      <c r="G9" s="981">
        <v>517</v>
      </c>
      <c r="H9" s="981">
        <v>86</v>
      </c>
      <c r="I9" s="981">
        <v>1</v>
      </c>
    </row>
    <row r="10" spans="1:9" x14ac:dyDescent="0.25">
      <c r="A10" s="981" t="s">
        <v>206</v>
      </c>
      <c r="B10" s="981" t="s">
        <v>447</v>
      </c>
      <c r="C10" s="981" t="s">
        <v>150</v>
      </c>
      <c r="D10" s="981">
        <v>251</v>
      </c>
      <c r="E10" s="981">
        <v>20</v>
      </c>
      <c r="F10" s="981">
        <v>86</v>
      </c>
      <c r="G10" s="981">
        <v>137</v>
      </c>
      <c r="H10" s="981">
        <v>1</v>
      </c>
      <c r="I10" s="981">
        <v>7</v>
      </c>
    </row>
    <row r="11" spans="1:9" x14ac:dyDescent="0.25">
      <c r="A11" s="981" t="s">
        <v>206</v>
      </c>
      <c r="B11" s="981" t="s">
        <v>448</v>
      </c>
      <c r="C11" s="981" t="s">
        <v>151</v>
      </c>
      <c r="D11" s="981">
        <v>28</v>
      </c>
      <c r="E11" s="981">
        <v>18</v>
      </c>
      <c r="F11" s="981"/>
      <c r="G11" s="981">
        <v>9</v>
      </c>
      <c r="H11" s="981">
        <v>1</v>
      </c>
      <c r="I11" s="981"/>
    </row>
    <row r="12" spans="1:9" x14ac:dyDescent="0.25">
      <c r="A12" s="981" t="s">
        <v>206</v>
      </c>
      <c r="B12" s="981" t="s">
        <v>449</v>
      </c>
      <c r="C12" s="981" t="s">
        <v>152</v>
      </c>
      <c r="D12" s="981">
        <v>68</v>
      </c>
      <c r="E12" s="981">
        <v>37</v>
      </c>
      <c r="F12" s="981">
        <v>2</v>
      </c>
      <c r="G12" s="981">
        <v>27</v>
      </c>
      <c r="H12" s="981"/>
      <c r="I12" s="981">
        <v>2</v>
      </c>
    </row>
    <row r="13" spans="1:9" x14ac:dyDescent="0.25">
      <c r="A13" s="981" t="s">
        <v>206</v>
      </c>
      <c r="B13" s="981" t="s">
        <v>450</v>
      </c>
      <c r="C13" s="981" t="s">
        <v>153</v>
      </c>
      <c r="D13" s="981">
        <v>596</v>
      </c>
      <c r="E13" s="981">
        <v>83</v>
      </c>
      <c r="F13" s="981">
        <v>165</v>
      </c>
      <c r="G13" s="981">
        <v>331</v>
      </c>
      <c r="H13" s="981">
        <v>3</v>
      </c>
      <c r="I13" s="981">
        <v>14</v>
      </c>
    </row>
    <row r="14" spans="1:9" x14ac:dyDescent="0.25">
      <c r="A14" s="981" t="s">
        <v>206</v>
      </c>
      <c r="B14" s="981" t="s">
        <v>451</v>
      </c>
      <c r="C14" s="981" t="s">
        <v>154</v>
      </c>
      <c r="D14" s="981">
        <v>260</v>
      </c>
      <c r="E14" s="981">
        <v>23</v>
      </c>
      <c r="F14" s="981">
        <v>113</v>
      </c>
      <c r="G14" s="981">
        <v>114</v>
      </c>
      <c r="H14" s="981">
        <v>2</v>
      </c>
      <c r="I14" s="981">
        <v>8</v>
      </c>
    </row>
    <row r="15" spans="1:9" x14ac:dyDescent="0.25">
      <c r="A15" s="981" t="s">
        <v>206</v>
      </c>
      <c r="B15" s="981" t="s">
        <v>452</v>
      </c>
      <c r="C15" s="981" t="s">
        <v>155</v>
      </c>
      <c r="D15" s="981">
        <v>683</v>
      </c>
      <c r="E15" s="981">
        <v>222</v>
      </c>
      <c r="F15" s="981">
        <v>259</v>
      </c>
      <c r="G15" s="981">
        <v>173</v>
      </c>
      <c r="H15" s="981">
        <v>2</v>
      </c>
      <c r="I15" s="981">
        <v>27</v>
      </c>
    </row>
    <row r="16" spans="1:9" x14ac:dyDescent="0.25">
      <c r="A16" s="981" t="s">
        <v>206</v>
      </c>
      <c r="B16" s="981" t="s">
        <v>453</v>
      </c>
      <c r="C16" s="981" t="s">
        <v>156</v>
      </c>
      <c r="D16" s="981">
        <v>356</v>
      </c>
      <c r="E16" s="981">
        <v>165</v>
      </c>
      <c r="F16" s="981">
        <v>13</v>
      </c>
      <c r="G16" s="981">
        <v>170</v>
      </c>
      <c r="H16" s="981">
        <v>5</v>
      </c>
      <c r="I16" s="981">
        <v>3</v>
      </c>
    </row>
    <row r="17" spans="1:9" x14ac:dyDescent="0.25">
      <c r="A17" s="981" t="s">
        <v>206</v>
      </c>
      <c r="B17" s="981" t="s">
        <v>454</v>
      </c>
      <c r="C17" s="981" t="s">
        <v>157</v>
      </c>
      <c r="D17" s="981">
        <v>412</v>
      </c>
      <c r="E17" s="981">
        <v>50</v>
      </c>
      <c r="F17" s="981">
        <v>113</v>
      </c>
      <c r="G17" s="981">
        <v>243</v>
      </c>
      <c r="H17" s="981">
        <v>4</v>
      </c>
      <c r="I17" s="981">
        <v>2</v>
      </c>
    </row>
    <row r="18" spans="1:9" x14ac:dyDescent="0.25">
      <c r="A18" s="981" t="s">
        <v>206</v>
      </c>
      <c r="B18" s="981" t="s">
        <v>455</v>
      </c>
      <c r="C18" s="981" t="s">
        <v>158</v>
      </c>
      <c r="D18" s="981">
        <v>344</v>
      </c>
      <c r="E18" s="981">
        <v>68</v>
      </c>
      <c r="F18" s="981">
        <v>49</v>
      </c>
      <c r="G18" s="981">
        <v>209</v>
      </c>
      <c r="H18" s="981">
        <v>1</v>
      </c>
      <c r="I18" s="981">
        <v>17</v>
      </c>
    </row>
    <row r="19" spans="1:9" x14ac:dyDescent="0.25">
      <c r="A19" s="981" t="s">
        <v>206</v>
      </c>
      <c r="B19" s="981" t="s">
        <v>456</v>
      </c>
      <c r="C19" s="981" t="s">
        <v>1044</v>
      </c>
      <c r="D19" s="981">
        <v>174</v>
      </c>
      <c r="E19" s="981">
        <v>32</v>
      </c>
      <c r="F19" s="981">
        <v>10</v>
      </c>
      <c r="G19" s="981">
        <v>127</v>
      </c>
      <c r="H19" s="981">
        <v>5</v>
      </c>
      <c r="I19" s="981"/>
    </row>
    <row r="20" spans="1:9" x14ac:dyDescent="0.25">
      <c r="A20" s="981" t="s">
        <v>205</v>
      </c>
      <c r="B20" s="981" t="s">
        <v>442</v>
      </c>
      <c r="C20" s="981" t="s">
        <v>146</v>
      </c>
      <c r="D20" s="981">
        <v>451</v>
      </c>
      <c r="E20" s="981">
        <v>118</v>
      </c>
      <c r="F20" s="981">
        <v>24</v>
      </c>
      <c r="G20" s="981">
        <v>255</v>
      </c>
      <c r="H20" s="981">
        <v>45</v>
      </c>
      <c r="I20" s="981">
        <v>9</v>
      </c>
    </row>
    <row r="21" spans="1:9" x14ac:dyDescent="0.25">
      <c r="A21" s="981" t="s">
        <v>205</v>
      </c>
      <c r="B21" s="981" t="s">
        <v>443</v>
      </c>
      <c r="C21" s="981" t="s">
        <v>147</v>
      </c>
      <c r="D21" s="981">
        <v>1760</v>
      </c>
      <c r="E21" s="981">
        <v>241</v>
      </c>
      <c r="F21" s="981">
        <v>598</v>
      </c>
      <c r="G21" s="981">
        <v>822</v>
      </c>
      <c r="H21" s="981">
        <v>24</v>
      </c>
      <c r="I21" s="981">
        <v>75</v>
      </c>
    </row>
    <row r="22" spans="1:9" x14ac:dyDescent="0.25">
      <c r="A22" s="981" t="s">
        <v>205</v>
      </c>
      <c r="B22" s="981" t="s">
        <v>444</v>
      </c>
      <c r="C22" s="981" t="s">
        <v>163</v>
      </c>
      <c r="D22" s="981">
        <v>3062</v>
      </c>
      <c r="E22" s="981">
        <v>91</v>
      </c>
      <c r="F22" s="981">
        <v>272</v>
      </c>
      <c r="G22" s="981">
        <v>2548</v>
      </c>
      <c r="H22" s="981">
        <v>10</v>
      </c>
      <c r="I22" s="981">
        <v>141</v>
      </c>
    </row>
    <row r="23" spans="1:9" x14ac:dyDescent="0.25">
      <c r="A23" s="981" t="s">
        <v>205</v>
      </c>
      <c r="B23" s="981" t="s">
        <v>445</v>
      </c>
      <c r="C23" s="981" t="s">
        <v>148</v>
      </c>
      <c r="D23" s="981">
        <v>119</v>
      </c>
      <c r="E23" s="981">
        <v>43</v>
      </c>
      <c r="F23" s="981">
        <v>5</v>
      </c>
      <c r="G23" s="981">
        <v>49</v>
      </c>
      <c r="H23" s="981">
        <v>21</v>
      </c>
      <c r="I23" s="981">
        <v>1</v>
      </c>
    </row>
    <row r="24" spans="1:9" x14ac:dyDescent="0.25">
      <c r="A24" s="981" t="s">
        <v>205</v>
      </c>
      <c r="B24" s="981" t="s">
        <v>446</v>
      </c>
      <c r="C24" s="981" t="s">
        <v>149</v>
      </c>
      <c r="D24" s="981">
        <v>1263</v>
      </c>
      <c r="E24" s="981">
        <v>329</v>
      </c>
      <c r="F24" s="981">
        <v>53</v>
      </c>
      <c r="G24" s="981">
        <v>815</v>
      </c>
      <c r="H24" s="981">
        <v>65</v>
      </c>
      <c r="I24" s="981">
        <v>1</v>
      </c>
    </row>
    <row r="25" spans="1:9" x14ac:dyDescent="0.25">
      <c r="A25" s="981" t="s">
        <v>205</v>
      </c>
      <c r="B25" s="981" t="s">
        <v>447</v>
      </c>
      <c r="C25" s="981" t="s">
        <v>150</v>
      </c>
      <c r="D25" s="981">
        <v>351</v>
      </c>
      <c r="E25" s="981">
        <v>41</v>
      </c>
      <c r="F25" s="981">
        <v>82</v>
      </c>
      <c r="G25" s="981">
        <v>198</v>
      </c>
      <c r="H25" s="981">
        <v>1</v>
      </c>
      <c r="I25" s="981">
        <v>29</v>
      </c>
    </row>
    <row r="26" spans="1:9" x14ac:dyDescent="0.25">
      <c r="A26" s="981" t="s">
        <v>205</v>
      </c>
      <c r="B26" s="981" t="s">
        <v>448</v>
      </c>
      <c r="C26" s="981" t="s">
        <v>151</v>
      </c>
      <c r="D26" s="981">
        <v>36</v>
      </c>
      <c r="E26" s="981">
        <v>15</v>
      </c>
      <c r="F26" s="981"/>
      <c r="G26" s="981">
        <v>21</v>
      </c>
      <c r="H26" s="981"/>
      <c r="I26" s="981"/>
    </row>
    <row r="27" spans="1:9" x14ac:dyDescent="0.25">
      <c r="A27" s="981" t="s">
        <v>205</v>
      </c>
      <c r="B27" s="981" t="s">
        <v>449</v>
      </c>
      <c r="C27" s="981" t="s">
        <v>152</v>
      </c>
      <c r="D27" s="981">
        <v>49</v>
      </c>
      <c r="E27" s="981">
        <v>24</v>
      </c>
      <c r="F27" s="981">
        <v>3</v>
      </c>
      <c r="G27" s="981">
        <v>22</v>
      </c>
      <c r="H27" s="981"/>
      <c r="I27" s="981"/>
    </row>
    <row r="28" spans="1:9" x14ac:dyDescent="0.25">
      <c r="A28" s="981" t="s">
        <v>205</v>
      </c>
      <c r="B28" s="981" t="s">
        <v>450</v>
      </c>
      <c r="C28" s="981" t="s">
        <v>153</v>
      </c>
      <c r="D28" s="981">
        <v>494</v>
      </c>
      <c r="E28" s="981">
        <v>74</v>
      </c>
      <c r="F28" s="981">
        <v>148</v>
      </c>
      <c r="G28" s="981">
        <v>250</v>
      </c>
      <c r="H28" s="981">
        <v>5</v>
      </c>
      <c r="I28" s="981">
        <v>17</v>
      </c>
    </row>
    <row r="29" spans="1:9" x14ac:dyDescent="0.25">
      <c r="A29" s="981" t="s">
        <v>205</v>
      </c>
      <c r="B29" s="981" t="s">
        <v>451</v>
      </c>
      <c r="C29" s="981" t="s">
        <v>154</v>
      </c>
      <c r="D29" s="981">
        <v>228</v>
      </c>
      <c r="E29" s="981">
        <v>41</v>
      </c>
      <c r="F29" s="981">
        <v>53</v>
      </c>
      <c r="G29" s="981">
        <v>125</v>
      </c>
      <c r="H29" s="981"/>
      <c r="I29" s="981">
        <v>9</v>
      </c>
    </row>
    <row r="30" spans="1:9" x14ac:dyDescent="0.25">
      <c r="A30" s="981" t="s">
        <v>205</v>
      </c>
      <c r="B30" s="981" t="s">
        <v>452</v>
      </c>
      <c r="C30" s="981" t="s">
        <v>155</v>
      </c>
      <c r="D30" s="981">
        <v>639</v>
      </c>
      <c r="E30" s="981">
        <v>172</v>
      </c>
      <c r="F30" s="981">
        <v>197</v>
      </c>
      <c r="G30" s="981">
        <v>228</v>
      </c>
      <c r="H30" s="981">
        <v>6</v>
      </c>
      <c r="I30" s="981">
        <v>36</v>
      </c>
    </row>
    <row r="31" spans="1:9" x14ac:dyDescent="0.25">
      <c r="A31" s="981" t="s">
        <v>205</v>
      </c>
      <c r="B31" s="981" t="s">
        <v>453</v>
      </c>
      <c r="C31" s="981" t="s">
        <v>156</v>
      </c>
      <c r="D31" s="981">
        <v>320</v>
      </c>
      <c r="E31" s="981">
        <v>84</v>
      </c>
      <c r="F31" s="981">
        <v>8</v>
      </c>
      <c r="G31" s="981">
        <v>217</v>
      </c>
      <c r="H31" s="981">
        <v>7</v>
      </c>
      <c r="I31" s="981">
        <v>4</v>
      </c>
    </row>
    <row r="32" spans="1:9" x14ac:dyDescent="0.25">
      <c r="A32" s="981" t="s">
        <v>205</v>
      </c>
      <c r="B32" s="981" t="s">
        <v>454</v>
      </c>
      <c r="C32" s="981" t="s">
        <v>157</v>
      </c>
      <c r="D32" s="981">
        <v>485</v>
      </c>
      <c r="E32" s="981">
        <v>44</v>
      </c>
      <c r="F32" s="981">
        <v>170</v>
      </c>
      <c r="G32" s="981">
        <v>267</v>
      </c>
      <c r="H32" s="981">
        <v>3</v>
      </c>
      <c r="I32" s="981">
        <v>1</v>
      </c>
    </row>
    <row r="33" spans="1:9" x14ac:dyDescent="0.25">
      <c r="A33" s="981" t="s">
        <v>205</v>
      </c>
      <c r="B33" s="981" t="s">
        <v>455</v>
      </c>
      <c r="C33" s="981" t="s">
        <v>158</v>
      </c>
      <c r="D33" s="981">
        <v>379</v>
      </c>
      <c r="E33" s="981">
        <v>84</v>
      </c>
      <c r="F33" s="981">
        <v>35</v>
      </c>
      <c r="G33" s="981">
        <v>240</v>
      </c>
      <c r="H33" s="981">
        <v>5</v>
      </c>
      <c r="I33" s="981">
        <v>15</v>
      </c>
    </row>
    <row r="34" spans="1:9" x14ac:dyDescent="0.25">
      <c r="A34" s="981" t="s">
        <v>205</v>
      </c>
      <c r="B34" s="981" t="s">
        <v>456</v>
      </c>
      <c r="C34" s="981" t="s">
        <v>1044</v>
      </c>
      <c r="D34" s="981">
        <v>198</v>
      </c>
      <c r="E34" s="981">
        <v>26</v>
      </c>
      <c r="F34" s="981">
        <v>39</v>
      </c>
      <c r="G34" s="981">
        <v>128</v>
      </c>
      <c r="H34" s="981">
        <v>5</v>
      </c>
      <c r="I34" s="981"/>
    </row>
    <row r="35" spans="1:9" x14ac:dyDescent="0.25">
      <c r="A35" s="981" t="s">
        <v>278</v>
      </c>
      <c r="B35" s="981" t="s">
        <v>442</v>
      </c>
      <c r="C35" s="981" t="s">
        <v>146</v>
      </c>
      <c r="D35" s="981">
        <v>396</v>
      </c>
      <c r="E35" s="981">
        <v>51</v>
      </c>
      <c r="F35" s="981">
        <v>17</v>
      </c>
      <c r="G35" s="981">
        <v>314</v>
      </c>
      <c r="H35" s="981">
        <v>6</v>
      </c>
      <c r="I35" s="981">
        <v>8</v>
      </c>
    </row>
    <row r="36" spans="1:9" x14ac:dyDescent="0.25">
      <c r="A36" s="981" t="s">
        <v>278</v>
      </c>
      <c r="B36" s="981" t="s">
        <v>443</v>
      </c>
      <c r="C36" s="981" t="s">
        <v>147</v>
      </c>
      <c r="D36" s="981">
        <v>1719</v>
      </c>
      <c r="E36" s="981">
        <v>219</v>
      </c>
      <c r="F36" s="981">
        <v>638</v>
      </c>
      <c r="G36" s="981">
        <v>783</v>
      </c>
      <c r="H36" s="981">
        <v>12</v>
      </c>
      <c r="I36" s="981">
        <v>67</v>
      </c>
    </row>
    <row r="37" spans="1:9" x14ac:dyDescent="0.25">
      <c r="A37" s="981" t="s">
        <v>278</v>
      </c>
      <c r="B37" s="981" t="s">
        <v>444</v>
      </c>
      <c r="C37" s="981" t="s">
        <v>163</v>
      </c>
      <c r="D37" s="981">
        <v>2650</v>
      </c>
      <c r="E37" s="981">
        <v>106</v>
      </c>
      <c r="F37" s="981">
        <v>343</v>
      </c>
      <c r="G37" s="981">
        <v>2130</v>
      </c>
      <c r="H37" s="981">
        <v>2</v>
      </c>
      <c r="I37" s="981">
        <v>69</v>
      </c>
    </row>
    <row r="38" spans="1:9" x14ac:dyDescent="0.25">
      <c r="A38" s="981" t="s">
        <v>278</v>
      </c>
      <c r="B38" s="981" t="s">
        <v>445</v>
      </c>
      <c r="C38" s="981" t="s">
        <v>148</v>
      </c>
      <c r="D38" s="981">
        <v>128</v>
      </c>
      <c r="E38" s="981">
        <v>27</v>
      </c>
      <c r="F38" s="981">
        <v>10</v>
      </c>
      <c r="G38" s="981">
        <v>83</v>
      </c>
      <c r="H38" s="981">
        <v>3</v>
      </c>
      <c r="I38" s="981">
        <v>5</v>
      </c>
    </row>
    <row r="39" spans="1:9" x14ac:dyDescent="0.25">
      <c r="A39" s="981" t="s">
        <v>278</v>
      </c>
      <c r="B39" s="981" t="s">
        <v>446</v>
      </c>
      <c r="C39" s="981" t="s">
        <v>149</v>
      </c>
      <c r="D39" s="981">
        <v>1138</v>
      </c>
      <c r="E39" s="981">
        <v>248</v>
      </c>
      <c r="F39" s="981">
        <v>57</v>
      </c>
      <c r="G39" s="981">
        <v>800</v>
      </c>
      <c r="H39" s="981">
        <v>33</v>
      </c>
      <c r="I39" s="981"/>
    </row>
    <row r="40" spans="1:9" x14ac:dyDescent="0.25">
      <c r="A40" s="981" t="s">
        <v>278</v>
      </c>
      <c r="B40" s="981" t="s">
        <v>447</v>
      </c>
      <c r="C40" s="981" t="s">
        <v>150</v>
      </c>
      <c r="D40" s="981">
        <v>371</v>
      </c>
      <c r="E40" s="981">
        <v>35</v>
      </c>
      <c r="F40" s="981">
        <v>84</v>
      </c>
      <c r="G40" s="981">
        <v>245</v>
      </c>
      <c r="H40" s="981"/>
      <c r="I40" s="981">
        <v>7</v>
      </c>
    </row>
    <row r="41" spans="1:9" x14ac:dyDescent="0.25">
      <c r="A41" s="981" t="s">
        <v>278</v>
      </c>
      <c r="B41" s="981" t="s">
        <v>448</v>
      </c>
      <c r="C41" s="981" t="s">
        <v>151</v>
      </c>
      <c r="D41" s="981">
        <v>21</v>
      </c>
      <c r="E41" s="981">
        <v>3</v>
      </c>
      <c r="F41" s="981"/>
      <c r="G41" s="981">
        <v>16</v>
      </c>
      <c r="H41" s="981">
        <v>1</v>
      </c>
      <c r="I41" s="981">
        <v>1</v>
      </c>
    </row>
    <row r="42" spans="1:9" x14ac:dyDescent="0.25">
      <c r="A42" s="981" t="s">
        <v>278</v>
      </c>
      <c r="B42" s="981" t="s">
        <v>449</v>
      </c>
      <c r="C42" s="981" t="s">
        <v>152</v>
      </c>
      <c r="D42" s="981">
        <v>66</v>
      </c>
      <c r="E42" s="981">
        <v>10</v>
      </c>
      <c r="F42" s="981">
        <v>1</v>
      </c>
      <c r="G42" s="981">
        <v>55</v>
      </c>
      <c r="H42" s="981"/>
      <c r="I42" s="981"/>
    </row>
    <row r="43" spans="1:9" x14ac:dyDescent="0.25">
      <c r="A43" s="981" t="s">
        <v>278</v>
      </c>
      <c r="B43" s="981" t="s">
        <v>450</v>
      </c>
      <c r="C43" s="981" t="s">
        <v>153</v>
      </c>
      <c r="D43" s="981">
        <v>482</v>
      </c>
      <c r="E43" s="981">
        <v>85</v>
      </c>
      <c r="F43" s="981">
        <v>55</v>
      </c>
      <c r="G43" s="981">
        <v>327</v>
      </c>
      <c r="H43" s="981">
        <v>8</v>
      </c>
      <c r="I43" s="981">
        <v>7</v>
      </c>
    </row>
    <row r="44" spans="1:9" x14ac:dyDescent="0.25">
      <c r="A44" s="981" t="s">
        <v>278</v>
      </c>
      <c r="B44" s="981" t="s">
        <v>451</v>
      </c>
      <c r="C44" s="981" t="s">
        <v>154</v>
      </c>
      <c r="D44" s="981">
        <v>363</v>
      </c>
      <c r="E44" s="981">
        <v>55</v>
      </c>
      <c r="F44" s="981">
        <v>38</v>
      </c>
      <c r="G44" s="981">
        <v>241</v>
      </c>
      <c r="H44" s="981">
        <v>10</v>
      </c>
      <c r="I44" s="981">
        <v>19</v>
      </c>
    </row>
    <row r="45" spans="1:9" x14ac:dyDescent="0.25">
      <c r="A45" s="981" t="s">
        <v>278</v>
      </c>
      <c r="B45" s="981" t="s">
        <v>452</v>
      </c>
      <c r="C45" s="981" t="s">
        <v>155</v>
      </c>
      <c r="D45" s="981">
        <v>523</v>
      </c>
      <c r="E45" s="981">
        <v>52</v>
      </c>
      <c r="F45" s="981">
        <v>46</v>
      </c>
      <c r="G45" s="981">
        <v>346</v>
      </c>
      <c r="H45" s="981">
        <v>2</v>
      </c>
      <c r="I45" s="981">
        <v>77</v>
      </c>
    </row>
    <row r="46" spans="1:9" x14ac:dyDescent="0.25">
      <c r="A46" s="981" t="s">
        <v>278</v>
      </c>
      <c r="B46" s="981" t="s">
        <v>453</v>
      </c>
      <c r="C46" s="981" t="s">
        <v>156</v>
      </c>
      <c r="D46" s="981">
        <v>235</v>
      </c>
      <c r="E46" s="981">
        <v>59</v>
      </c>
      <c r="F46" s="981">
        <v>8</v>
      </c>
      <c r="G46" s="981">
        <v>160</v>
      </c>
      <c r="H46" s="981">
        <v>2</v>
      </c>
      <c r="I46" s="981">
        <v>6</v>
      </c>
    </row>
    <row r="47" spans="1:9" x14ac:dyDescent="0.25">
      <c r="A47" s="981" t="s">
        <v>278</v>
      </c>
      <c r="B47" s="981" t="s">
        <v>454</v>
      </c>
      <c r="C47" s="981" t="s">
        <v>157</v>
      </c>
      <c r="D47" s="981">
        <v>329</v>
      </c>
      <c r="E47" s="981">
        <v>52</v>
      </c>
      <c r="F47" s="981">
        <v>49</v>
      </c>
      <c r="G47" s="981">
        <v>225</v>
      </c>
      <c r="H47" s="981">
        <v>3</v>
      </c>
      <c r="I47" s="981"/>
    </row>
    <row r="48" spans="1:9" x14ac:dyDescent="0.25">
      <c r="A48" s="981" t="s">
        <v>278</v>
      </c>
      <c r="B48" s="981" t="s">
        <v>455</v>
      </c>
      <c r="C48" s="981" t="s">
        <v>158</v>
      </c>
      <c r="D48" s="981">
        <v>275</v>
      </c>
      <c r="E48" s="981">
        <v>46</v>
      </c>
      <c r="F48" s="981">
        <v>25</v>
      </c>
      <c r="G48" s="981">
        <v>191</v>
      </c>
      <c r="H48" s="981">
        <v>8</v>
      </c>
      <c r="I48" s="981">
        <v>5</v>
      </c>
    </row>
    <row r="49" spans="1:9" x14ac:dyDescent="0.25">
      <c r="A49" s="981" t="s">
        <v>278</v>
      </c>
      <c r="B49" s="981" t="s">
        <v>456</v>
      </c>
      <c r="C49" s="981" t="s">
        <v>1044</v>
      </c>
      <c r="D49" s="981">
        <v>243</v>
      </c>
      <c r="E49" s="981">
        <v>56</v>
      </c>
      <c r="F49" s="981">
        <v>38</v>
      </c>
      <c r="G49" s="981">
        <v>145</v>
      </c>
      <c r="H49" s="981">
        <v>4</v>
      </c>
      <c r="I49" s="981"/>
    </row>
    <row r="50" spans="1:9" x14ac:dyDescent="0.25">
      <c r="A50" s="981" t="s">
        <v>259</v>
      </c>
      <c r="B50" s="981" t="s">
        <v>442</v>
      </c>
      <c r="C50" s="981" t="s">
        <v>146</v>
      </c>
      <c r="D50" s="981">
        <v>367</v>
      </c>
      <c r="E50" s="981">
        <v>71</v>
      </c>
      <c r="F50" s="981">
        <v>25</v>
      </c>
      <c r="G50" s="981">
        <v>262</v>
      </c>
      <c r="H50" s="981">
        <v>4</v>
      </c>
      <c r="I50" s="981">
        <v>5</v>
      </c>
    </row>
    <row r="51" spans="1:9" x14ac:dyDescent="0.25">
      <c r="A51" s="981" t="s">
        <v>259</v>
      </c>
      <c r="B51" s="981" t="s">
        <v>443</v>
      </c>
      <c r="C51" s="981" t="s">
        <v>147</v>
      </c>
      <c r="D51" s="981">
        <v>1653</v>
      </c>
      <c r="E51" s="981">
        <v>201</v>
      </c>
      <c r="F51" s="981">
        <v>580</v>
      </c>
      <c r="G51" s="981">
        <v>791</v>
      </c>
      <c r="H51" s="981">
        <v>9</v>
      </c>
      <c r="I51" s="981">
        <v>72</v>
      </c>
    </row>
    <row r="52" spans="1:9" x14ac:dyDescent="0.25">
      <c r="A52" s="981" t="s">
        <v>259</v>
      </c>
      <c r="B52" s="981" t="s">
        <v>444</v>
      </c>
      <c r="C52" s="981" t="s">
        <v>163</v>
      </c>
      <c r="D52" s="981">
        <v>2077</v>
      </c>
      <c r="E52" s="981">
        <v>203</v>
      </c>
      <c r="F52" s="981">
        <v>246</v>
      </c>
      <c r="G52" s="981">
        <v>1559</v>
      </c>
      <c r="H52" s="981"/>
      <c r="I52" s="981">
        <v>69</v>
      </c>
    </row>
    <row r="53" spans="1:9" x14ac:dyDescent="0.25">
      <c r="A53" s="981" t="s">
        <v>259</v>
      </c>
      <c r="B53" s="981" t="s">
        <v>445</v>
      </c>
      <c r="C53" s="981" t="s">
        <v>148</v>
      </c>
      <c r="D53" s="981">
        <v>104</v>
      </c>
      <c r="E53" s="981">
        <v>21</v>
      </c>
      <c r="F53" s="981">
        <v>12</v>
      </c>
      <c r="G53" s="981">
        <v>63</v>
      </c>
      <c r="H53" s="981">
        <v>2</v>
      </c>
      <c r="I53" s="981">
        <v>6</v>
      </c>
    </row>
    <row r="54" spans="1:9" x14ac:dyDescent="0.25">
      <c r="A54" s="981" t="s">
        <v>259</v>
      </c>
      <c r="B54" s="981" t="s">
        <v>446</v>
      </c>
      <c r="C54" s="981" t="s">
        <v>149</v>
      </c>
      <c r="D54" s="981">
        <v>1167</v>
      </c>
      <c r="E54" s="981">
        <v>256</v>
      </c>
      <c r="F54" s="981">
        <v>73</v>
      </c>
      <c r="G54" s="981">
        <v>819</v>
      </c>
      <c r="H54" s="981">
        <v>17</v>
      </c>
      <c r="I54" s="981">
        <v>2</v>
      </c>
    </row>
    <row r="55" spans="1:9" x14ac:dyDescent="0.25">
      <c r="A55" s="981" t="s">
        <v>259</v>
      </c>
      <c r="B55" s="981" t="s">
        <v>447</v>
      </c>
      <c r="C55" s="981" t="s">
        <v>150</v>
      </c>
      <c r="D55" s="981">
        <v>408</v>
      </c>
      <c r="E55" s="981">
        <v>53</v>
      </c>
      <c r="F55" s="981">
        <v>81</v>
      </c>
      <c r="G55" s="981">
        <v>273</v>
      </c>
      <c r="H55" s="981"/>
      <c r="I55" s="981">
        <v>1</v>
      </c>
    </row>
    <row r="56" spans="1:9" x14ac:dyDescent="0.25">
      <c r="A56" s="981" t="s">
        <v>259</v>
      </c>
      <c r="B56" s="981" t="s">
        <v>448</v>
      </c>
      <c r="C56" s="981" t="s">
        <v>151</v>
      </c>
      <c r="D56" s="981">
        <v>37</v>
      </c>
      <c r="E56" s="981">
        <v>14</v>
      </c>
      <c r="F56" s="981"/>
      <c r="G56" s="981">
        <v>21</v>
      </c>
      <c r="H56" s="981">
        <v>1</v>
      </c>
      <c r="I56" s="981">
        <v>1</v>
      </c>
    </row>
    <row r="57" spans="1:9" x14ac:dyDescent="0.25">
      <c r="A57" s="981" t="s">
        <v>259</v>
      </c>
      <c r="B57" s="981" t="s">
        <v>449</v>
      </c>
      <c r="C57" s="981" t="s">
        <v>152</v>
      </c>
      <c r="D57" s="981">
        <v>59</v>
      </c>
      <c r="E57" s="981">
        <v>12</v>
      </c>
      <c r="F57" s="981">
        <v>2</v>
      </c>
      <c r="G57" s="981">
        <v>42</v>
      </c>
      <c r="H57" s="981">
        <v>2</v>
      </c>
      <c r="I57" s="981">
        <v>1</v>
      </c>
    </row>
    <row r="58" spans="1:9" x14ac:dyDescent="0.25">
      <c r="A58" s="981" t="s">
        <v>259</v>
      </c>
      <c r="B58" s="981" t="s">
        <v>450</v>
      </c>
      <c r="C58" s="981" t="s">
        <v>153</v>
      </c>
      <c r="D58" s="981">
        <v>332</v>
      </c>
      <c r="E58" s="981">
        <v>70</v>
      </c>
      <c r="F58" s="981">
        <v>35</v>
      </c>
      <c r="G58" s="981">
        <v>219</v>
      </c>
      <c r="H58" s="981">
        <v>3</v>
      </c>
      <c r="I58" s="981">
        <v>5</v>
      </c>
    </row>
    <row r="59" spans="1:9" x14ac:dyDescent="0.25">
      <c r="A59" s="981" t="s">
        <v>259</v>
      </c>
      <c r="B59" s="981" t="s">
        <v>451</v>
      </c>
      <c r="C59" s="981" t="s">
        <v>154</v>
      </c>
      <c r="D59" s="981">
        <v>268</v>
      </c>
      <c r="E59" s="981">
        <v>29</v>
      </c>
      <c r="F59" s="981">
        <v>35</v>
      </c>
      <c r="G59" s="981">
        <v>178</v>
      </c>
      <c r="H59" s="981">
        <v>2</v>
      </c>
      <c r="I59" s="981">
        <v>24</v>
      </c>
    </row>
    <row r="60" spans="1:9" x14ac:dyDescent="0.25">
      <c r="A60" s="981" t="s">
        <v>259</v>
      </c>
      <c r="B60" s="981" t="s">
        <v>452</v>
      </c>
      <c r="C60" s="981" t="s">
        <v>155</v>
      </c>
      <c r="D60" s="981">
        <v>362</v>
      </c>
      <c r="E60" s="981">
        <v>55</v>
      </c>
      <c r="F60" s="981">
        <v>48</v>
      </c>
      <c r="G60" s="981">
        <v>231</v>
      </c>
      <c r="H60" s="981">
        <v>1</v>
      </c>
      <c r="I60" s="981">
        <v>27</v>
      </c>
    </row>
    <row r="61" spans="1:9" x14ac:dyDescent="0.25">
      <c r="A61" s="981" t="s">
        <v>259</v>
      </c>
      <c r="B61" s="981" t="s">
        <v>453</v>
      </c>
      <c r="C61" s="981" t="s">
        <v>156</v>
      </c>
      <c r="D61" s="981">
        <v>240</v>
      </c>
      <c r="E61" s="981">
        <v>62</v>
      </c>
      <c r="F61" s="981">
        <v>6</v>
      </c>
      <c r="G61" s="981">
        <v>166</v>
      </c>
      <c r="H61" s="981">
        <v>2</v>
      </c>
      <c r="I61" s="981">
        <v>4</v>
      </c>
    </row>
    <row r="62" spans="1:9" x14ac:dyDescent="0.25">
      <c r="A62" s="981" t="s">
        <v>259</v>
      </c>
      <c r="B62" s="981" t="s">
        <v>454</v>
      </c>
      <c r="C62" s="981" t="s">
        <v>157</v>
      </c>
      <c r="D62" s="981">
        <v>228</v>
      </c>
      <c r="E62" s="981">
        <v>44</v>
      </c>
      <c r="F62" s="981">
        <v>32</v>
      </c>
      <c r="G62" s="981">
        <v>150</v>
      </c>
      <c r="H62" s="981"/>
      <c r="I62" s="981">
        <v>2</v>
      </c>
    </row>
    <row r="63" spans="1:9" x14ac:dyDescent="0.25">
      <c r="A63" s="981" t="s">
        <v>259</v>
      </c>
      <c r="B63" s="981" t="s">
        <v>455</v>
      </c>
      <c r="C63" s="981" t="s">
        <v>158</v>
      </c>
      <c r="D63" s="981">
        <v>220</v>
      </c>
      <c r="E63" s="981">
        <v>55</v>
      </c>
      <c r="F63" s="981">
        <v>18</v>
      </c>
      <c r="G63" s="981">
        <v>140</v>
      </c>
      <c r="H63" s="981">
        <v>3</v>
      </c>
      <c r="I63" s="981">
        <v>4</v>
      </c>
    </row>
    <row r="64" spans="1:9" x14ac:dyDescent="0.25">
      <c r="A64" s="981" t="s">
        <v>259</v>
      </c>
      <c r="B64" s="981" t="s">
        <v>456</v>
      </c>
      <c r="C64" s="981" t="s">
        <v>1044</v>
      </c>
      <c r="D64" s="981">
        <v>113</v>
      </c>
      <c r="E64" s="981">
        <v>17</v>
      </c>
      <c r="F64" s="981">
        <v>19</v>
      </c>
      <c r="G64" s="981">
        <v>72</v>
      </c>
      <c r="H64" s="981">
        <v>4</v>
      </c>
      <c r="I64" s="981">
        <v>1</v>
      </c>
    </row>
    <row r="65" spans="1:9" x14ac:dyDescent="0.25">
      <c r="A65" s="981" t="s">
        <v>258</v>
      </c>
      <c r="B65" s="981" t="s">
        <v>442</v>
      </c>
      <c r="C65" s="981" t="s">
        <v>146</v>
      </c>
      <c r="D65" s="981">
        <v>471</v>
      </c>
      <c r="E65" s="981">
        <v>70</v>
      </c>
      <c r="F65" s="981">
        <v>36</v>
      </c>
      <c r="G65" s="981">
        <v>353</v>
      </c>
      <c r="H65" s="981">
        <v>5</v>
      </c>
      <c r="I65" s="981">
        <v>7</v>
      </c>
    </row>
    <row r="66" spans="1:9" x14ac:dyDescent="0.25">
      <c r="A66" s="981" t="s">
        <v>258</v>
      </c>
      <c r="B66" s="981" t="s">
        <v>443</v>
      </c>
      <c r="C66" s="981" t="s">
        <v>147</v>
      </c>
      <c r="D66" s="981">
        <v>1775</v>
      </c>
      <c r="E66" s="981">
        <v>201</v>
      </c>
      <c r="F66" s="981">
        <v>668</v>
      </c>
      <c r="G66" s="981">
        <v>807</v>
      </c>
      <c r="H66" s="981">
        <v>7</v>
      </c>
      <c r="I66" s="981">
        <v>92</v>
      </c>
    </row>
    <row r="67" spans="1:9" x14ac:dyDescent="0.25">
      <c r="A67" s="981" t="s">
        <v>258</v>
      </c>
      <c r="B67" s="981" t="s">
        <v>444</v>
      </c>
      <c r="C67" s="981" t="s">
        <v>163</v>
      </c>
      <c r="D67" s="981">
        <v>1862</v>
      </c>
      <c r="E67" s="981">
        <v>109</v>
      </c>
      <c r="F67" s="981">
        <v>263</v>
      </c>
      <c r="G67" s="981">
        <v>1407</v>
      </c>
      <c r="H67" s="981">
        <v>2</v>
      </c>
      <c r="I67" s="981">
        <v>81</v>
      </c>
    </row>
    <row r="68" spans="1:9" x14ac:dyDescent="0.25">
      <c r="A68" s="981" t="s">
        <v>258</v>
      </c>
      <c r="B68" s="981" t="s">
        <v>445</v>
      </c>
      <c r="C68" s="981" t="s">
        <v>148</v>
      </c>
      <c r="D68" s="981">
        <v>88</v>
      </c>
      <c r="E68" s="981">
        <v>12</v>
      </c>
      <c r="F68" s="981">
        <v>10</v>
      </c>
      <c r="G68" s="981">
        <v>59</v>
      </c>
      <c r="H68" s="981">
        <v>2</v>
      </c>
      <c r="I68" s="981">
        <v>5</v>
      </c>
    </row>
    <row r="69" spans="1:9" x14ac:dyDescent="0.25">
      <c r="A69" s="981" t="s">
        <v>258</v>
      </c>
      <c r="B69" s="981" t="s">
        <v>446</v>
      </c>
      <c r="C69" s="981" t="s">
        <v>149</v>
      </c>
      <c r="D69" s="981">
        <v>1030</v>
      </c>
      <c r="E69" s="981">
        <v>209</v>
      </c>
      <c r="F69" s="981">
        <v>70</v>
      </c>
      <c r="G69" s="981">
        <v>734</v>
      </c>
      <c r="H69" s="981">
        <v>17</v>
      </c>
      <c r="I69" s="981"/>
    </row>
    <row r="70" spans="1:9" x14ac:dyDescent="0.25">
      <c r="A70" s="981" t="s">
        <v>258</v>
      </c>
      <c r="B70" s="981" t="s">
        <v>447</v>
      </c>
      <c r="C70" s="981" t="s">
        <v>150</v>
      </c>
      <c r="D70" s="981">
        <v>323</v>
      </c>
      <c r="E70" s="981">
        <v>28</v>
      </c>
      <c r="F70" s="981">
        <v>92</v>
      </c>
      <c r="G70" s="981">
        <v>199</v>
      </c>
      <c r="H70" s="981"/>
      <c r="I70" s="981">
        <v>4</v>
      </c>
    </row>
    <row r="71" spans="1:9" x14ac:dyDescent="0.25">
      <c r="A71" s="981" t="s">
        <v>258</v>
      </c>
      <c r="B71" s="981" t="s">
        <v>448</v>
      </c>
      <c r="C71" s="981" t="s">
        <v>151</v>
      </c>
      <c r="D71" s="981">
        <v>31</v>
      </c>
      <c r="E71" s="981">
        <v>5</v>
      </c>
      <c r="F71" s="981">
        <v>2</v>
      </c>
      <c r="G71" s="981">
        <v>23</v>
      </c>
      <c r="H71" s="981"/>
      <c r="I71" s="981">
        <v>1</v>
      </c>
    </row>
    <row r="72" spans="1:9" x14ac:dyDescent="0.25">
      <c r="A72" s="981" t="s">
        <v>258</v>
      </c>
      <c r="B72" s="981" t="s">
        <v>449</v>
      </c>
      <c r="C72" s="981" t="s">
        <v>152</v>
      </c>
      <c r="D72" s="981">
        <v>60</v>
      </c>
      <c r="E72" s="981">
        <v>14</v>
      </c>
      <c r="F72" s="981">
        <v>2</v>
      </c>
      <c r="G72" s="981">
        <v>43</v>
      </c>
      <c r="H72" s="981"/>
      <c r="I72" s="981">
        <v>1</v>
      </c>
    </row>
    <row r="73" spans="1:9" x14ac:dyDescent="0.25">
      <c r="A73" s="981" t="s">
        <v>258</v>
      </c>
      <c r="B73" s="981" t="s">
        <v>450</v>
      </c>
      <c r="C73" s="981" t="s">
        <v>153</v>
      </c>
      <c r="D73" s="981">
        <v>374</v>
      </c>
      <c r="E73" s="981">
        <v>84</v>
      </c>
      <c r="F73" s="981">
        <v>36</v>
      </c>
      <c r="G73" s="981">
        <v>247</v>
      </c>
      <c r="H73" s="981">
        <v>1</v>
      </c>
      <c r="I73" s="981">
        <v>6</v>
      </c>
    </row>
    <row r="74" spans="1:9" x14ac:dyDescent="0.25">
      <c r="A74" s="981" t="s">
        <v>258</v>
      </c>
      <c r="B74" s="981" t="s">
        <v>451</v>
      </c>
      <c r="C74" s="981" t="s">
        <v>154</v>
      </c>
      <c r="D74" s="981">
        <v>470</v>
      </c>
      <c r="E74" s="981">
        <v>66</v>
      </c>
      <c r="F74" s="981">
        <v>41</v>
      </c>
      <c r="G74" s="981">
        <v>325</v>
      </c>
      <c r="H74" s="981">
        <v>3</v>
      </c>
      <c r="I74" s="981">
        <v>35</v>
      </c>
    </row>
    <row r="75" spans="1:9" x14ac:dyDescent="0.25">
      <c r="A75" s="981" t="s">
        <v>258</v>
      </c>
      <c r="B75" s="981" t="s">
        <v>452</v>
      </c>
      <c r="C75" s="981" t="s">
        <v>155</v>
      </c>
      <c r="D75" s="981">
        <v>382</v>
      </c>
      <c r="E75" s="981">
        <v>45</v>
      </c>
      <c r="F75" s="981">
        <v>49</v>
      </c>
      <c r="G75" s="981">
        <v>267</v>
      </c>
      <c r="H75" s="981">
        <v>3</v>
      </c>
      <c r="I75" s="981">
        <v>18</v>
      </c>
    </row>
    <row r="76" spans="1:9" x14ac:dyDescent="0.25">
      <c r="A76" s="981" t="s">
        <v>258</v>
      </c>
      <c r="B76" s="981" t="s">
        <v>453</v>
      </c>
      <c r="C76" s="981" t="s">
        <v>156</v>
      </c>
      <c r="D76" s="981">
        <v>283</v>
      </c>
      <c r="E76" s="981">
        <v>59</v>
      </c>
      <c r="F76" s="981">
        <v>20</v>
      </c>
      <c r="G76" s="981">
        <v>196</v>
      </c>
      <c r="H76" s="981">
        <v>6</v>
      </c>
      <c r="I76" s="981">
        <v>2</v>
      </c>
    </row>
    <row r="77" spans="1:9" x14ac:dyDescent="0.25">
      <c r="A77" s="981" t="s">
        <v>258</v>
      </c>
      <c r="B77" s="981" t="s">
        <v>454</v>
      </c>
      <c r="C77" s="981" t="s">
        <v>157</v>
      </c>
      <c r="D77" s="981">
        <v>267</v>
      </c>
      <c r="E77" s="981">
        <v>51</v>
      </c>
      <c r="F77" s="981">
        <v>42</v>
      </c>
      <c r="G77" s="981">
        <v>173</v>
      </c>
      <c r="H77" s="981">
        <v>1</v>
      </c>
      <c r="I77" s="981"/>
    </row>
    <row r="78" spans="1:9" x14ac:dyDescent="0.25">
      <c r="A78" s="981" t="s">
        <v>258</v>
      </c>
      <c r="B78" s="981" t="s">
        <v>455</v>
      </c>
      <c r="C78" s="981" t="s">
        <v>158</v>
      </c>
      <c r="D78" s="981">
        <v>267</v>
      </c>
      <c r="E78" s="981">
        <v>62</v>
      </c>
      <c r="F78" s="981">
        <v>29</v>
      </c>
      <c r="G78" s="981">
        <v>170</v>
      </c>
      <c r="H78" s="981">
        <v>4</v>
      </c>
      <c r="I78" s="981">
        <v>2</v>
      </c>
    </row>
    <row r="79" spans="1:9" x14ac:dyDescent="0.25">
      <c r="A79" s="981" t="s">
        <v>258</v>
      </c>
      <c r="B79" s="981" t="s">
        <v>456</v>
      </c>
      <c r="C79" s="981" t="s">
        <v>1044</v>
      </c>
      <c r="D79" s="981">
        <v>189</v>
      </c>
      <c r="E79" s="981">
        <v>33</v>
      </c>
      <c r="F79" s="981">
        <v>34</v>
      </c>
      <c r="G79" s="981">
        <v>121</v>
      </c>
      <c r="H79" s="981">
        <v>1</v>
      </c>
      <c r="I79" s="981"/>
    </row>
  </sheetData>
  <pageMargins left="0.7" right="0.7" top="0.75" bottom="0.75" header="0.3" footer="0.3"/>
  <pageSetup paperSize="9" fitToHeight="50"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pageSetUpPr fitToPage="1"/>
  </sheetPr>
  <dimension ref="A4:C79"/>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3" x14ac:dyDescent="0.25">
      <c r="A4" s="980" t="s">
        <v>334</v>
      </c>
      <c r="B4" s="980" t="s">
        <v>1046</v>
      </c>
      <c r="C4" s="980" t="s">
        <v>26</v>
      </c>
    </row>
    <row r="5" spans="1:3" x14ac:dyDescent="0.25">
      <c r="A5" s="981" t="s">
        <v>206</v>
      </c>
      <c r="B5" s="981" t="s">
        <v>163</v>
      </c>
      <c r="C5" s="981">
        <v>1947</v>
      </c>
    </row>
    <row r="6" spans="1:3" x14ac:dyDescent="0.25">
      <c r="A6" s="981" t="s">
        <v>206</v>
      </c>
      <c r="B6" s="981" t="s">
        <v>147</v>
      </c>
      <c r="C6" s="981">
        <v>1506</v>
      </c>
    </row>
    <row r="7" spans="1:3" x14ac:dyDescent="0.25">
      <c r="A7" s="981" t="s">
        <v>206</v>
      </c>
      <c r="B7" s="981" t="s">
        <v>149</v>
      </c>
      <c r="C7" s="981">
        <v>1109</v>
      </c>
    </row>
    <row r="8" spans="1:3" x14ac:dyDescent="0.25">
      <c r="A8" s="981" t="s">
        <v>206</v>
      </c>
      <c r="B8" s="981" t="s">
        <v>155</v>
      </c>
      <c r="C8" s="981">
        <v>683</v>
      </c>
    </row>
    <row r="9" spans="1:3" x14ac:dyDescent="0.25">
      <c r="A9" s="981" t="s">
        <v>206</v>
      </c>
      <c r="B9" s="981" t="s">
        <v>153</v>
      </c>
      <c r="C9" s="981">
        <v>596</v>
      </c>
    </row>
    <row r="10" spans="1:3" x14ac:dyDescent="0.25">
      <c r="A10" s="981" t="s">
        <v>206</v>
      </c>
      <c r="B10" s="981" t="s">
        <v>157</v>
      </c>
      <c r="C10" s="981">
        <v>412</v>
      </c>
    </row>
    <row r="11" spans="1:3" x14ac:dyDescent="0.25">
      <c r="A11" s="981" t="s">
        <v>206</v>
      </c>
      <c r="B11" s="981" t="s">
        <v>156</v>
      </c>
      <c r="C11" s="981">
        <v>356</v>
      </c>
    </row>
    <row r="12" spans="1:3" x14ac:dyDescent="0.25">
      <c r="A12" s="981" t="s">
        <v>206</v>
      </c>
      <c r="B12" s="981" t="s">
        <v>158</v>
      </c>
      <c r="C12" s="981">
        <v>344</v>
      </c>
    </row>
    <row r="13" spans="1:3" x14ac:dyDescent="0.25">
      <c r="A13" s="981" t="s">
        <v>206</v>
      </c>
      <c r="B13" s="981" t="s">
        <v>146</v>
      </c>
      <c r="C13" s="981">
        <v>334</v>
      </c>
    </row>
    <row r="14" spans="1:3" x14ac:dyDescent="0.25">
      <c r="A14" s="981" t="s">
        <v>206</v>
      </c>
      <c r="B14" s="981" t="s">
        <v>154</v>
      </c>
      <c r="C14" s="981">
        <v>260</v>
      </c>
    </row>
    <row r="15" spans="1:3" x14ac:dyDescent="0.25">
      <c r="A15" s="981" t="s">
        <v>206</v>
      </c>
      <c r="B15" s="981" t="s">
        <v>150</v>
      </c>
      <c r="C15" s="981">
        <v>251</v>
      </c>
    </row>
    <row r="16" spans="1:3" x14ac:dyDescent="0.25">
      <c r="A16" s="981" t="s">
        <v>206</v>
      </c>
      <c r="B16" s="981" t="s">
        <v>1044</v>
      </c>
      <c r="C16" s="981">
        <v>174</v>
      </c>
    </row>
    <row r="17" spans="1:3" x14ac:dyDescent="0.25">
      <c r="A17" s="981" t="s">
        <v>206</v>
      </c>
      <c r="B17" s="981" t="s">
        <v>148</v>
      </c>
      <c r="C17" s="981">
        <v>138</v>
      </c>
    </row>
    <row r="18" spans="1:3" x14ac:dyDescent="0.25">
      <c r="A18" s="981" t="s">
        <v>206</v>
      </c>
      <c r="B18" s="981" t="s">
        <v>152</v>
      </c>
      <c r="C18" s="981">
        <v>68</v>
      </c>
    </row>
    <row r="19" spans="1:3" x14ac:dyDescent="0.25">
      <c r="A19" s="981" t="s">
        <v>206</v>
      </c>
      <c r="B19" s="981" t="s">
        <v>151</v>
      </c>
      <c r="C19" s="981">
        <v>28</v>
      </c>
    </row>
    <row r="20" spans="1:3" x14ac:dyDescent="0.25">
      <c r="A20" s="981" t="s">
        <v>205</v>
      </c>
      <c r="B20" s="981" t="s">
        <v>163</v>
      </c>
      <c r="C20" s="981">
        <v>3062</v>
      </c>
    </row>
    <row r="21" spans="1:3" x14ac:dyDescent="0.25">
      <c r="A21" s="981" t="s">
        <v>205</v>
      </c>
      <c r="B21" s="981" t="s">
        <v>147</v>
      </c>
      <c r="C21" s="981">
        <v>1760</v>
      </c>
    </row>
    <row r="22" spans="1:3" x14ac:dyDescent="0.25">
      <c r="A22" s="981" t="s">
        <v>205</v>
      </c>
      <c r="B22" s="981" t="s">
        <v>149</v>
      </c>
      <c r="C22" s="981">
        <v>1263</v>
      </c>
    </row>
    <row r="23" spans="1:3" x14ac:dyDescent="0.25">
      <c r="A23" s="981" t="s">
        <v>205</v>
      </c>
      <c r="B23" s="981" t="s">
        <v>155</v>
      </c>
      <c r="C23" s="981">
        <v>639</v>
      </c>
    </row>
    <row r="24" spans="1:3" x14ac:dyDescent="0.25">
      <c r="A24" s="981" t="s">
        <v>205</v>
      </c>
      <c r="B24" s="981" t="s">
        <v>153</v>
      </c>
      <c r="C24" s="981">
        <v>494</v>
      </c>
    </row>
    <row r="25" spans="1:3" x14ac:dyDescent="0.25">
      <c r="A25" s="981" t="s">
        <v>205</v>
      </c>
      <c r="B25" s="981" t="s">
        <v>157</v>
      </c>
      <c r="C25" s="981">
        <v>485</v>
      </c>
    </row>
    <row r="26" spans="1:3" x14ac:dyDescent="0.25">
      <c r="A26" s="981" t="s">
        <v>205</v>
      </c>
      <c r="B26" s="981" t="s">
        <v>146</v>
      </c>
      <c r="C26" s="981">
        <v>451</v>
      </c>
    </row>
    <row r="27" spans="1:3" x14ac:dyDescent="0.25">
      <c r="A27" s="981" t="s">
        <v>205</v>
      </c>
      <c r="B27" s="981" t="s">
        <v>158</v>
      </c>
      <c r="C27" s="981">
        <v>379</v>
      </c>
    </row>
    <row r="28" spans="1:3" x14ac:dyDescent="0.25">
      <c r="A28" s="981" t="s">
        <v>205</v>
      </c>
      <c r="B28" s="981" t="s">
        <v>150</v>
      </c>
      <c r="C28" s="981">
        <v>351</v>
      </c>
    </row>
    <row r="29" spans="1:3" x14ac:dyDescent="0.25">
      <c r="A29" s="981" t="s">
        <v>205</v>
      </c>
      <c r="B29" s="981" t="s">
        <v>156</v>
      </c>
      <c r="C29" s="981">
        <v>320</v>
      </c>
    </row>
    <row r="30" spans="1:3" x14ac:dyDescent="0.25">
      <c r="A30" s="981" t="s">
        <v>205</v>
      </c>
      <c r="B30" s="981" t="s">
        <v>154</v>
      </c>
      <c r="C30" s="981">
        <v>228</v>
      </c>
    </row>
    <row r="31" spans="1:3" x14ac:dyDescent="0.25">
      <c r="A31" s="981" t="s">
        <v>205</v>
      </c>
      <c r="B31" s="981" t="s">
        <v>1044</v>
      </c>
      <c r="C31" s="981">
        <v>198</v>
      </c>
    </row>
    <row r="32" spans="1:3" x14ac:dyDescent="0.25">
      <c r="A32" s="981" t="s">
        <v>205</v>
      </c>
      <c r="B32" s="981" t="s">
        <v>148</v>
      </c>
      <c r="C32" s="981">
        <v>119</v>
      </c>
    </row>
    <row r="33" spans="1:3" x14ac:dyDescent="0.25">
      <c r="A33" s="981" t="s">
        <v>205</v>
      </c>
      <c r="B33" s="981" t="s">
        <v>152</v>
      </c>
      <c r="C33" s="981">
        <v>49</v>
      </c>
    </row>
    <row r="34" spans="1:3" x14ac:dyDescent="0.25">
      <c r="A34" s="981" t="s">
        <v>205</v>
      </c>
      <c r="B34" s="981" t="s">
        <v>151</v>
      </c>
      <c r="C34" s="981">
        <v>36</v>
      </c>
    </row>
    <row r="35" spans="1:3" x14ac:dyDescent="0.25">
      <c r="A35" s="981" t="s">
        <v>278</v>
      </c>
      <c r="B35" s="981" t="s">
        <v>163</v>
      </c>
      <c r="C35" s="981">
        <v>2650</v>
      </c>
    </row>
    <row r="36" spans="1:3" x14ac:dyDescent="0.25">
      <c r="A36" s="981" t="s">
        <v>278</v>
      </c>
      <c r="B36" s="981" t="s">
        <v>147</v>
      </c>
      <c r="C36" s="981">
        <v>1719</v>
      </c>
    </row>
    <row r="37" spans="1:3" x14ac:dyDescent="0.25">
      <c r="A37" s="981" t="s">
        <v>278</v>
      </c>
      <c r="B37" s="981" t="s">
        <v>149</v>
      </c>
      <c r="C37" s="981">
        <v>1138</v>
      </c>
    </row>
    <row r="38" spans="1:3" x14ac:dyDescent="0.25">
      <c r="A38" s="981" t="s">
        <v>278</v>
      </c>
      <c r="B38" s="981" t="s">
        <v>155</v>
      </c>
      <c r="C38" s="981">
        <v>523</v>
      </c>
    </row>
    <row r="39" spans="1:3" x14ac:dyDescent="0.25">
      <c r="A39" s="981" t="s">
        <v>278</v>
      </c>
      <c r="B39" s="981" t="s">
        <v>153</v>
      </c>
      <c r="C39" s="981">
        <v>482</v>
      </c>
    </row>
    <row r="40" spans="1:3" x14ac:dyDescent="0.25">
      <c r="A40" s="981" t="s">
        <v>278</v>
      </c>
      <c r="B40" s="981" t="s">
        <v>146</v>
      </c>
      <c r="C40" s="981">
        <v>396</v>
      </c>
    </row>
    <row r="41" spans="1:3" x14ac:dyDescent="0.25">
      <c r="A41" s="981" t="s">
        <v>278</v>
      </c>
      <c r="B41" s="981" t="s">
        <v>150</v>
      </c>
      <c r="C41" s="981">
        <v>371</v>
      </c>
    </row>
    <row r="42" spans="1:3" x14ac:dyDescent="0.25">
      <c r="A42" s="981" t="s">
        <v>278</v>
      </c>
      <c r="B42" s="981" t="s">
        <v>154</v>
      </c>
      <c r="C42" s="981">
        <v>363</v>
      </c>
    </row>
    <row r="43" spans="1:3" x14ac:dyDescent="0.25">
      <c r="A43" s="981" t="s">
        <v>278</v>
      </c>
      <c r="B43" s="981" t="s">
        <v>157</v>
      </c>
      <c r="C43" s="981">
        <v>329</v>
      </c>
    </row>
    <row r="44" spans="1:3" x14ac:dyDescent="0.25">
      <c r="A44" s="981" t="s">
        <v>278</v>
      </c>
      <c r="B44" s="981" t="s">
        <v>158</v>
      </c>
      <c r="C44" s="981">
        <v>275</v>
      </c>
    </row>
    <row r="45" spans="1:3" x14ac:dyDescent="0.25">
      <c r="A45" s="981" t="s">
        <v>278</v>
      </c>
      <c r="B45" s="981" t="s">
        <v>1044</v>
      </c>
      <c r="C45" s="981">
        <v>243</v>
      </c>
    </row>
    <row r="46" spans="1:3" x14ac:dyDescent="0.25">
      <c r="A46" s="981" t="s">
        <v>278</v>
      </c>
      <c r="B46" s="981" t="s">
        <v>156</v>
      </c>
      <c r="C46" s="981">
        <v>235</v>
      </c>
    </row>
    <row r="47" spans="1:3" x14ac:dyDescent="0.25">
      <c r="A47" s="981" t="s">
        <v>278</v>
      </c>
      <c r="B47" s="981" t="s">
        <v>148</v>
      </c>
      <c r="C47" s="981">
        <v>128</v>
      </c>
    </row>
    <row r="48" spans="1:3" x14ac:dyDescent="0.25">
      <c r="A48" s="981" t="s">
        <v>278</v>
      </c>
      <c r="B48" s="981" t="s">
        <v>152</v>
      </c>
      <c r="C48" s="981">
        <v>66</v>
      </c>
    </row>
    <row r="49" spans="1:3" x14ac:dyDescent="0.25">
      <c r="A49" s="981" t="s">
        <v>278</v>
      </c>
      <c r="B49" s="981" t="s">
        <v>151</v>
      </c>
      <c r="C49" s="981">
        <v>21</v>
      </c>
    </row>
    <row r="50" spans="1:3" x14ac:dyDescent="0.25">
      <c r="A50" s="981" t="s">
        <v>259</v>
      </c>
      <c r="B50" s="981" t="s">
        <v>163</v>
      </c>
      <c r="C50" s="981">
        <v>2077</v>
      </c>
    </row>
    <row r="51" spans="1:3" x14ac:dyDescent="0.25">
      <c r="A51" s="981" t="s">
        <v>259</v>
      </c>
      <c r="B51" s="981" t="s">
        <v>147</v>
      </c>
      <c r="C51" s="981">
        <v>1653</v>
      </c>
    </row>
    <row r="52" spans="1:3" x14ac:dyDescent="0.25">
      <c r="A52" s="981" t="s">
        <v>259</v>
      </c>
      <c r="B52" s="981" t="s">
        <v>149</v>
      </c>
      <c r="C52" s="981">
        <v>1167</v>
      </c>
    </row>
    <row r="53" spans="1:3" x14ac:dyDescent="0.25">
      <c r="A53" s="981" t="s">
        <v>259</v>
      </c>
      <c r="B53" s="981" t="s">
        <v>150</v>
      </c>
      <c r="C53" s="981">
        <v>408</v>
      </c>
    </row>
    <row r="54" spans="1:3" x14ac:dyDescent="0.25">
      <c r="A54" s="981" t="s">
        <v>259</v>
      </c>
      <c r="B54" s="981" t="s">
        <v>146</v>
      </c>
      <c r="C54" s="981">
        <v>367</v>
      </c>
    </row>
    <row r="55" spans="1:3" x14ac:dyDescent="0.25">
      <c r="A55" s="981" t="s">
        <v>259</v>
      </c>
      <c r="B55" s="981" t="s">
        <v>155</v>
      </c>
      <c r="C55" s="981">
        <v>362</v>
      </c>
    </row>
    <row r="56" spans="1:3" x14ac:dyDescent="0.25">
      <c r="A56" s="981" t="s">
        <v>259</v>
      </c>
      <c r="B56" s="981" t="s">
        <v>153</v>
      </c>
      <c r="C56" s="981">
        <v>332</v>
      </c>
    </row>
    <row r="57" spans="1:3" x14ac:dyDescent="0.25">
      <c r="A57" s="981" t="s">
        <v>259</v>
      </c>
      <c r="B57" s="981" t="s">
        <v>154</v>
      </c>
      <c r="C57" s="981">
        <v>268</v>
      </c>
    </row>
    <row r="58" spans="1:3" x14ac:dyDescent="0.25">
      <c r="A58" s="981" t="s">
        <v>259</v>
      </c>
      <c r="B58" s="981" t="s">
        <v>156</v>
      </c>
      <c r="C58" s="981">
        <v>240</v>
      </c>
    </row>
    <row r="59" spans="1:3" x14ac:dyDescent="0.25">
      <c r="A59" s="981" t="s">
        <v>259</v>
      </c>
      <c r="B59" s="981" t="s">
        <v>157</v>
      </c>
      <c r="C59" s="981">
        <v>228</v>
      </c>
    </row>
    <row r="60" spans="1:3" x14ac:dyDescent="0.25">
      <c r="A60" s="981" t="s">
        <v>259</v>
      </c>
      <c r="B60" s="981" t="s">
        <v>158</v>
      </c>
      <c r="C60" s="981">
        <v>220</v>
      </c>
    </row>
    <row r="61" spans="1:3" x14ac:dyDescent="0.25">
      <c r="A61" s="981" t="s">
        <v>259</v>
      </c>
      <c r="B61" s="981" t="s">
        <v>1044</v>
      </c>
      <c r="C61" s="981">
        <v>113</v>
      </c>
    </row>
    <row r="62" spans="1:3" x14ac:dyDescent="0.25">
      <c r="A62" s="981" t="s">
        <v>259</v>
      </c>
      <c r="B62" s="981" t="s">
        <v>148</v>
      </c>
      <c r="C62" s="981">
        <v>104</v>
      </c>
    </row>
    <row r="63" spans="1:3" x14ac:dyDescent="0.25">
      <c r="A63" s="981" t="s">
        <v>259</v>
      </c>
      <c r="B63" s="981" t="s">
        <v>152</v>
      </c>
      <c r="C63" s="981">
        <v>59</v>
      </c>
    </row>
    <row r="64" spans="1:3" x14ac:dyDescent="0.25">
      <c r="A64" s="981" t="s">
        <v>259</v>
      </c>
      <c r="B64" s="981" t="s">
        <v>151</v>
      </c>
      <c r="C64" s="981">
        <v>37</v>
      </c>
    </row>
    <row r="65" spans="1:3" x14ac:dyDescent="0.25">
      <c r="A65" s="981" t="s">
        <v>258</v>
      </c>
      <c r="B65" s="981" t="s">
        <v>163</v>
      </c>
      <c r="C65" s="981">
        <v>1862</v>
      </c>
    </row>
    <row r="66" spans="1:3" x14ac:dyDescent="0.25">
      <c r="A66" s="981" t="s">
        <v>258</v>
      </c>
      <c r="B66" s="981" t="s">
        <v>147</v>
      </c>
      <c r="C66" s="981">
        <v>1775</v>
      </c>
    </row>
    <row r="67" spans="1:3" x14ac:dyDescent="0.25">
      <c r="A67" s="981" t="s">
        <v>258</v>
      </c>
      <c r="B67" s="981" t="s">
        <v>149</v>
      </c>
      <c r="C67" s="981">
        <v>1030</v>
      </c>
    </row>
    <row r="68" spans="1:3" x14ac:dyDescent="0.25">
      <c r="A68" s="981" t="s">
        <v>258</v>
      </c>
      <c r="B68" s="981" t="s">
        <v>146</v>
      </c>
      <c r="C68" s="981">
        <v>471</v>
      </c>
    </row>
    <row r="69" spans="1:3" x14ac:dyDescent="0.25">
      <c r="A69" s="981" t="s">
        <v>258</v>
      </c>
      <c r="B69" s="981" t="s">
        <v>154</v>
      </c>
      <c r="C69" s="981">
        <v>470</v>
      </c>
    </row>
    <row r="70" spans="1:3" x14ac:dyDescent="0.25">
      <c r="A70" s="981" t="s">
        <v>258</v>
      </c>
      <c r="B70" s="981" t="s">
        <v>155</v>
      </c>
      <c r="C70" s="981">
        <v>382</v>
      </c>
    </row>
    <row r="71" spans="1:3" x14ac:dyDescent="0.25">
      <c r="A71" s="981" t="s">
        <v>258</v>
      </c>
      <c r="B71" s="981" t="s">
        <v>153</v>
      </c>
      <c r="C71" s="981">
        <v>374</v>
      </c>
    </row>
    <row r="72" spans="1:3" x14ac:dyDescent="0.25">
      <c r="A72" s="981" t="s">
        <v>258</v>
      </c>
      <c r="B72" s="981" t="s">
        <v>150</v>
      </c>
      <c r="C72" s="981">
        <v>323</v>
      </c>
    </row>
    <row r="73" spans="1:3" x14ac:dyDescent="0.25">
      <c r="A73" s="981" t="s">
        <v>258</v>
      </c>
      <c r="B73" s="981" t="s">
        <v>156</v>
      </c>
      <c r="C73" s="981">
        <v>283</v>
      </c>
    </row>
    <row r="74" spans="1:3" x14ac:dyDescent="0.25">
      <c r="A74" s="981" t="s">
        <v>258</v>
      </c>
      <c r="B74" s="981" t="s">
        <v>157</v>
      </c>
      <c r="C74" s="981">
        <v>267</v>
      </c>
    </row>
    <row r="75" spans="1:3" x14ac:dyDescent="0.25">
      <c r="A75" s="981" t="s">
        <v>258</v>
      </c>
      <c r="B75" s="981" t="s">
        <v>158</v>
      </c>
      <c r="C75" s="981">
        <v>267</v>
      </c>
    </row>
    <row r="76" spans="1:3" x14ac:dyDescent="0.25">
      <c r="A76" s="981" t="s">
        <v>258</v>
      </c>
      <c r="B76" s="981" t="s">
        <v>1044</v>
      </c>
      <c r="C76" s="981">
        <v>189</v>
      </c>
    </row>
    <row r="77" spans="1:3" x14ac:dyDescent="0.25">
      <c r="A77" s="981" t="s">
        <v>258</v>
      </c>
      <c r="B77" s="981" t="s">
        <v>148</v>
      </c>
      <c r="C77" s="981">
        <v>88</v>
      </c>
    </row>
    <row r="78" spans="1:3" x14ac:dyDescent="0.25">
      <c r="A78" s="981" t="s">
        <v>258</v>
      </c>
      <c r="B78" s="981" t="s">
        <v>152</v>
      </c>
      <c r="C78" s="981">
        <v>60</v>
      </c>
    </row>
    <row r="79" spans="1:3" x14ac:dyDescent="0.25">
      <c r="A79" s="981" t="s">
        <v>258</v>
      </c>
      <c r="B79" s="981" t="s">
        <v>151</v>
      </c>
      <c r="C79" s="981">
        <v>31</v>
      </c>
    </row>
  </sheetData>
  <pageMargins left="0.7" right="0.7" top="0.75" bottom="0.75" header="0.3" footer="0.3"/>
  <pageSetup paperSize="9" fitToHeight="5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39997558519241921"/>
    <pageSetUpPr fitToPage="1"/>
  </sheetPr>
  <dimension ref="A1:XFD68"/>
  <sheetViews>
    <sheetView showGridLines="0" workbookViewId="0">
      <pane ySplit="2" topLeftCell="A3" activePane="bottomLeft" state="frozen"/>
      <selection sqref="A1:C1"/>
      <selection pane="bottomLeft" sqref="A1:I1"/>
    </sheetView>
  </sheetViews>
  <sheetFormatPr defaultRowHeight="15" x14ac:dyDescent="0.25"/>
  <cols>
    <col min="1" max="1" width="29.7109375" customWidth="1"/>
    <col min="2" max="2" width="12.42578125" bestFit="1" customWidth="1"/>
    <col min="3" max="3" width="12.140625" customWidth="1"/>
    <col min="4" max="5" width="11.28515625" customWidth="1"/>
    <col min="6" max="6" width="12.28515625" customWidth="1"/>
    <col min="7" max="7" width="11" bestFit="1" customWidth="1"/>
    <col min="8" max="8" width="4.42578125" customWidth="1"/>
    <col min="9" max="9" width="11.42578125" customWidth="1"/>
    <col min="11" max="11" width="35.140625" bestFit="1" customWidth="1"/>
  </cols>
  <sheetData>
    <row r="1" spans="1:20" ht="15.75" x14ac:dyDescent="0.25">
      <c r="A1" s="993" t="s">
        <v>523</v>
      </c>
      <c r="B1" s="993"/>
      <c r="C1" s="993"/>
      <c r="D1" s="993"/>
      <c r="E1" s="993"/>
      <c r="F1" s="993"/>
      <c r="G1" s="993"/>
      <c r="H1" s="993"/>
      <c r="I1" s="993"/>
    </row>
    <row r="2" spans="1:20" ht="15" customHeight="1" x14ac:dyDescent="0.25">
      <c r="A2" s="790" t="s">
        <v>598</v>
      </c>
      <c r="B2" s="1"/>
      <c r="C2" s="1"/>
      <c r="D2" s="1"/>
      <c r="E2" s="1"/>
      <c r="F2" s="1"/>
      <c r="G2" s="1"/>
      <c r="H2" s="1"/>
      <c r="I2" s="1"/>
      <c r="J2" s="1"/>
    </row>
    <row r="3" spans="1:20" ht="15" customHeight="1" x14ac:dyDescent="0.25">
      <c r="A3" s="1"/>
      <c r="B3" s="1"/>
      <c r="C3" s="1"/>
      <c r="D3" s="1"/>
      <c r="E3" s="1"/>
      <c r="F3" s="1"/>
      <c r="G3" s="1"/>
      <c r="H3" s="1"/>
      <c r="I3" s="1"/>
      <c r="J3" s="1"/>
    </row>
    <row r="4" spans="1:20" ht="24" customHeight="1" x14ac:dyDescent="0.25">
      <c r="A4" s="665" t="s">
        <v>557</v>
      </c>
      <c r="B4" s="665"/>
      <c r="C4" s="665"/>
      <c r="D4" s="665"/>
      <c r="E4" s="665"/>
      <c r="F4" s="665"/>
      <c r="G4" s="665"/>
      <c r="H4" s="665"/>
      <c r="I4" s="665"/>
      <c r="J4" s="1"/>
    </row>
    <row r="5" spans="1:20" ht="15.75" customHeight="1" x14ac:dyDescent="0.25">
      <c r="A5" t="s">
        <v>368</v>
      </c>
      <c r="B5" t="s">
        <v>749</v>
      </c>
      <c r="T5" s="585"/>
    </row>
    <row r="6" spans="1:20" ht="15.75" customHeight="1" x14ac:dyDescent="0.25">
      <c r="A6" t="s">
        <v>369</v>
      </c>
      <c r="B6" t="s">
        <v>371</v>
      </c>
      <c r="T6" s="585"/>
    </row>
    <row r="7" spans="1:20" ht="15.75" customHeight="1" x14ac:dyDescent="0.25">
      <c r="A7" t="s">
        <v>370</v>
      </c>
      <c r="B7" t="s">
        <v>372</v>
      </c>
      <c r="T7" s="585"/>
    </row>
    <row r="8" spans="1:20" ht="15" customHeight="1" x14ac:dyDescent="0.25">
      <c r="T8" s="585"/>
    </row>
    <row r="9" spans="1:20" ht="45" customHeight="1" x14ac:dyDescent="0.25">
      <c r="A9" s="2" t="s">
        <v>1</v>
      </c>
      <c r="B9" s="3" t="s">
        <v>179</v>
      </c>
      <c r="C9" s="3" t="s">
        <v>28</v>
      </c>
      <c r="D9" s="3" t="s">
        <v>2</v>
      </c>
      <c r="E9" s="3" t="s">
        <v>3</v>
      </c>
      <c r="F9" s="3" t="s">
        <v>29</v>
      </c>
      <c r="G9" s="3" t="s">
        <v>4</v>
      </c>
      <c r="H9" s="4"/>
      <c r="I9" s="3" t="s">
        <v>5</v>
      </c>
      <c r="J9" s="16"/>
      <c r="T9" s="585"/>
    </row>
    <row r="10" spans="1:20" ht="22.5" customHeight="1" x14ac:dyDescent="0.25">
      <c r="A10" s="5" t="str">
        <f>'T1'!A5</f>
        <v>2011-12</v>
      </c>
      <c r="B10" s="369">
        <f>'T1'!B5</f>
        <v>4159</v>
      </c>
      <c r="C10" s="369">
        <f>'T1'!C5</f>
        <v>3052</v>
      </c>
      <c r="D10" s="369">
        <f>'T1'!D5</f>
        <v>234</v>
      </c>
      <c r="E10" s="369">
        <f>'T1'!E5</f>
        <v>1136</v>
      </c>
      <c r="F10" s="369">
        <f>'T1'!F5</f>
        <v>459</v>
      </c>
      <c r="G10" s="370">
        <f t="shared" ref="G10:G16" si="0">SUM(B10:F10)</f>
        <v>9040</v>
      </c>
      <c r="H10" s="370"/>
      <c r="I10" s="370">
        <f t="shared" ref="I10:I16" si="1">G10-F10</f>
        <v>8581</v>
      </c>
      <c r="J10" s="16"/>
      <c r="T10" s="585"/>
    </row>
    <row r="11" spans="1:20" ht="15" customHeight="1" x14ac:dyDescent="0.25">
      <c r="A11" s="5" t="str">
        <f>'T1'!A6</f>
        <v>2012-13</v>
      </c>
      <c r="B11" s="369">
        <f>'T1'!B6</f>
        <v>4151</v>
      </c>
      <c r="C11" s="369">
        <f>'T1'!C6</f>
        <v>3076</v>
      </c>
      <c r="D11" s="369">
        <f>'T1'!D6</f>
        <v>234</v>
      </c>
      <c r="E11" s="369">
        <f>'T1'!E6</f>
        <v>1086</v>
      </c>
      <c r="F11" s="369">
        <f>'T1'!F6</f>
        <v>417</v>
      </c>
      <c r="G11" s="370">
        <f t="shared" si="0"/>
        <v>8964</v>
      </c>
      <c r="H11" s="370"/>
      <c r="I11" s="370">
        <f t="shared" si="1"/>
        <v>8547</v>
      </c>
      <c r="J11" s="16"/>
      <c r="T11" s="585"/>
    </row>
    <row r="12" spans="1:20" ht="15" customHeight="1" x14ac:dyDescent="0.25">
      <c r="A12" s="5" t="str">
        <f>'T1'!A7</f>
        <v>2013-14</v>
      </c>
      <c r="B12" s="369">
        <f>'T1'!B7</f>
        <v>4001</v>
      </c>
      <c r="C12" s="369">
        <f>'T1'!C7</f>
        <v>2940</v>
      </c>
      <c r="D12" s="369">
        <f>'T1'!D7</f>
        <v>223</v>
      </c>
      <c r="E12" s="369">
        <f>'T1'!E7</f>
        <v>961</v>
      </c>
      <c r="F12" s="369">
        <f>'T1'!F7</f>
        <v>359</v>
      </c>
      <c r="G12" s="370">
        <f t="shared" si="0"/>
        <v>8484</v>
      </c>
      <c r="H12" s="370"/>
      <c r="I12" s="370">
        <f t="shared" si="1"/>
        <v>8125</v>
      </c>
      <c r="J12" s="16"/>
      <c r="T12" s="585"/>
    </row>
    <row r="13" spans="1:20" ht="15" customHeight="1" x14ac:dyDescent="0.25">
      <c r="A13" s="5" t="str">
        <f>'T1'!A8</f>
        <v>2014-15</v>
      </c>
      <c r="B13" s="369">
        <f>'T1'!B8</f>
        <v>3856</v>
      </c>
      <c r="C13" s="369">
        <f>'T1'!C8</f>
        <v>2950</v>
      </c>
      <c r="D13" s="369">
        <f>'T1'!D8</f>
        <v>230</v>
      </c>
      <c r="E13" s="369">
        <f>'T1'!E8</f>
        <v>867</v>
      </c>
      <c r="F13" s="369">
        <f>'T1'!F8</f>
        <v>378</v>
      </c>
      <c r="G13" s="370">
        <f t="shared" si="0"/>
        <v>8281</v>
      </c>
      <c r="H13" s="370"/>
      <c r="I13" s="370">
        <f t="shared" si="1"/>
        <v>7903</v>
      </c>
      <c r="J13" s="371"/>
      <c r="T13" s="585"/>
    </row>
    <row r="14" spans="1:20" ht="15" customHeight="1" x14ac:dyDescent="0.25">
      <c r="A14" s="5" t="str">
        <f>'T1'!A9</f>
        <v>2015-16</v>
      </c>
      <c r="B14" s="369">
        <f>'T1'!B9</f>
        <v>3690</v>
      </c>
      <c r="C14" s="369">
        <f>'T1'!C9</f>
        <v>2870</v>
      </c>
      <c r="D14" s="369">
        <f>'T1'!D9</f>
        <v>203</v>
      </c>
      <c r="E14" s="369">
        <f>'T1'!E9</f>
        <v>828</v>
      </c>
      <c r="F14" s="369">
        <f>'T1'!F9</f>
        <v>342</v>
      </c>
      <c r="G14" s="370">
        <f t="shared" si="0"/>
        <v>7933</v>
      </c>
      <c r="H14" s="370"/>
      <c r="I14" s="370">
        <f t="shared" si="1"/>
        <v>7591</v>
      </c>
      <c r="J14" s="371"/>
      <c r="T14" s="585"/>
    </row>
    <row r="15" spans="1:20" ht="15" customHeight="1" x14ac:dyDescent="0.25">
      <c r="A15" s="5" t="str">
        <f>'T1'!A10</f>
        <v>2016-17</v>
      </c>
      <c r="B15" s="369">
        <f>'T1'!B10</f>
        <v>3645</v>
      </c>
      <c r="C15" s="369">
        <f>'T1'!C10</f>
        <v>2870</v>
      </c>
      <c r="D15" s="369">
        <f>'T1'!D10</f>
        <v>165</v>
      </c>
      <c r="E15" s="369">
        <f>'T1'!E10</f>
        <v>838</v>
      </c>
      <c r="F15" s="369">
        <f>'T1'!F10</f>
        <v>316</v>
      </c>
      <c r="G15" s="372">
        <f t="shared" si="0"/>
        <v>7834</v>
      </c>
      <c r="H15" s="372"/>
      <c r="I15" s="372">
        <f t="shared" si="1"/>
        <v>7518</v>
      </c>
      <c r="J15" s="373"/>
      <c r="T15" s="585"/>
    </row>
    <row r="16" spans="1:20" ht="15" customHeight="1" x14ac:dyDescent="0.25">
      <c r="A16" s="5" t="str">
        <f>'T1'!A11</f>
        <v>2017-18</v>
      </c>
      <c r="B16" s="369">
        <f>'T1'!B11</f>
        <v>3546</v>
      </c>
      <c r="C16" s="369">
        <f>'T1'!C11</f>
        <v>2863</v>
      </c>
      <c r="D16" s="369">
        <f>'T1'!D11</f>
        <v>189</v>
      </c>
      <c r="E16" s="369">
        <f>'T1'!E11</f>
        <v>846</v>
      </c>
      <c r="F16" s="369">
        <f>'T1'!F11</f>
        <v>332</v>
      </c>
      <c r="G16" s="372">
        <f t="shared" si="0"/>
        <v>7776</v>
      </c>
      <c r="H16" s="372"/>
      <c r="I16" s="372">
        <f t="shared" si="1"/>
        <v>7444</v>
      </c>
      <c r="J16" s="373"/>
      <c r="T16" s="585"/>
    </row>
    <row r="17" spans="1:20" ht="15" customHeight="1" x14ac:dyDescent="0.25">
      <c r="A17" s="19" t="str">
        <f>'T1'!A12</f>
        <v>2018-19</v>
      </c>
      <c r="B17" s="461">
        <f>'T1'!B12</f>
        <v>3637</v>
      </c>
      <c r="C17" s="461">
        <f>'T1'!C12</f>
        <v>2953</v>
      </c>
      <c r="D17" s="461">
        <f>'T1'!D12</f>
        <v>207</v>
      </c>
      <c r="E17" s="461">
        <f>'T1'!E12</f>
        <v>792</v>
      </c>
      <c r="F17" s="461">
        <f>'T1'!F12</f>
        <v>317</v>
      </c>
      <c r="G17" s="374">
        <f>SUM(B17:F17)</f>
        <v>7906</v>
      </c>
      <c r="H17" s="374"/>
      <c r="I17" s="374">
        <f>G17-F17</f>
        <v>7589</v>
      </c>
      <c r="J17" s="371"/>
      <c r="T17" s="585"/>
    </row>
    <row r="18" spans="1:20" ht="13.5" customHeight="1" x14ac:dyDescent="0.25">
      <c r="B18" s="7"/>
      <c r="C18" s="7"/>
      <c r="D18" s="7"/>
      <c r="E18" s="7"/>
      <c r="F18" s="7"/>
      <c r="G18" s="7"/>
      <c r="H18" s="7"/>
      <c r="I18" s="7"/>
      <c r="J18" s="375"/>
      <c r="T18" s="585"/>
    </row>
    <row r="19" spans="1:20" ht="14.1" customHeight="1" x14ac:dyDescent="0.25">
      <c r="A19" s="1000" t="str">
        <f>"One Year Change " &amp; A16 &amp; " to " &amp; A17</f>
        <v>One Year Change 2017-18 to 2018-19</v>
      </c>
      <c r="B19" s="1000"/>
      <c r="C19" s="1000"/>
      <c r="D19" s="376"/>
      <c r="E19" s="376"/>
      <c r="F19" s="376"/>
      <c r="G19" s="376"/>
      <c r="H19" s="375"/>
      <c r="I19" s="376"/>
      <c r="J19" s="28"/>
      <c r="T19" s="585"/>
    </row>
    <row r="20" spans="1:20" ht="14.1" customHeight="1" x14ac:dyDescent="0.25">
      <c r="A20" s="8" t="s">
        <v>6</v>
      </c>
      <c r="B20" s="9">
        <f>B17-B16</f>
        <v>91</v>
      </c>
      <c r="C20" s="9">
        <f t="shared" ref="C20:G20" si="2">C17-C16</f>
        <v>90</v>
      </c>
      <c r="D20" s="9">
        <f t="shared" si="2"/>
        <v>18</v>
      </c>
      <c r="E20" s="9">
        <f t="shared" si="2"/>
        <v>-54</v>
      </c>
      <c r="F20" s="9">
        <f t="shared" si="2"/>
        <v>-15</v>
      </c>
      <c r="G20" s="9">
        <f t="shared" si="2"/>
        <v>130</v>
      </c>
      <c r="H20" s="10"/>
      <c r="I20" s="9">
        <f>I17-I16</f>
        <v>145</v>
      </c>
      <c r="J20" s="16"/>
      <c r="T20" s="585"/>
    </row>
    <row r="21" spans="1:20" ht="18" customHeight="1" thickBot="1" x14ac:dyDescent="0.3">
      <c r="A21" s="11" t="s">
        <v>7</v>
      </c>
      <c r="B21" s="377">
        <f>B20/B16</f>
        <v>2.5662718556119572E-2</v>
      </c>
      <c r="C21" s="377">
        <f t="shared" ref="C21:G21" si="3">C20/C16</f>
        <v>3.1435557107928745E-2</v>
      </c>
      <c r="D21" s="377">
        <f t="shared" si="3"/>
        <v>9.5238095238095233E-2</v>
      </c>
      <c r="E21" s="377">
        <f t="shared" si="3"/>
        <v>-6.3829787234042548E-2</v>
      </c>
      <c r="F21" s="377">
        <f t="shared" si="3"/>
        <v>-4.5180722891566265E-2</v>
      </c>
      <c r="G21" s="377">
        <f t="shared" si="3"/>
        <v>1.6718106995884774E-2</v>
      </c>
      <c r="H21" s="377"/>
      <c r="I21" s="377">
        <f>I20/I16</f>
        <v>1.9478774852229985E-2</v>
      </c>
      <c r="J21" s="413"/>
      <c r="T21" s="585"/>
    </row>
    <row r="22" spans="1:20" ht="14.1" customHeight="1" x14ac:dyDescent="0.25">
      <c r="A22" s="13"/>
      <c r="B22" s="14"/>
      <c r="C22" s="14"/>
      <c r="D22" s="14"/>
      <c r="E22" s="14"/>
      <c r="F22" s="14"/>
      <c r="G22" s="15"/>
      <c r="H22" s="14"/>
      <c r="I22" s="14"/>
      <c r="J22" s="16"/>
      <c r="T22" s="585"/>
    </row>
    <row r="23" spans="1:20" ht="18" customHeight="1" x14ac:dyDescent="0.25">
      <c r="A23" s="1000" t="str">
        <f>"Five Year Change " &amp; A12 &amp; " to " &amp; A17</f>
        <v>Five Year Change 2013-14 to 2018-19</v>
      </c>
      <c r="B23" s="1000"/>
      <c r="C23" s="1000"/>
      <c r="D23" s="376"/>
      <c r="E23" s="376"/>
      <c r="F23" s="376"/>
      <c r="G23" s="376"/>
      <c r="H23" s="375"/>
      <c r="I23" s="376"/>
      <c r="J23" s="413"/>
      <c r="T23" s="585"/>
    </row>
    <row r="24" spans="1:20" ht="18" customHeight="1" x14ac:dyDescent="0.25">
      <c r="A24" s="8" t="s">
        <v>6</v>
      </c>
      <c r="B24" s="9">
        <f t="shared" ref="B24:G24" si="4">B17-B12</f>
        <v>-364</v>
      </c>
      <c r="C24" s="9">
        <f t="shared" si="4"/>
        <v>13</v>
      </c>
      <c r="D24" s="9">
        <f t="shared" si="4"/>
        <v>-16</v>
      </c>
      <c r="E24" s="9">
        <f t="shared" si="4"/>
        <v>-169</v>
      </c>
      <c r="F24" s="9">
        <f t="shared" si="4"/>
        <v>-42</v>
      </c>
      <c r="G24" s="9">
        <f t="shared" si="4"/>
        <v>-578</v>
      </c>
      <c r="H24" s="10"/>
      <c r="I24" s="9">
        <f>I17-I12</f>
        <v>-536</v>
      </c>
      <c r="J24" s="413"/>
      <c r="T24" s="585"/>
    </row>
    <row r="25" spans="1:20" ht="18" customHeight="1" thickBot="1" x14ac:dyDescent="0.3">
      <c r="A25" s="11" t="s">
        <v>7</v>
      </c>
      <c r="B25" s="377">
        <f t="shared" ref="B25:G25" si="5">B24/B12</f>
        <v>-9.0977255686078479E-2</v>
      </c>
      <c r="C25" s="377">
        <f t="shared" si="5"/>
        <v>4.4217687074829936E-3</v>
      </c>
      <c r="D25" s="377">
        <f t="shared" si="5"/>
        <v>-7.1748878923766815E-2</v>
      </c>
      <c r="E25" s="377">
        <f t="shared" si="5"/>
        <v>-0.17585848074921956</v>
      </c>
      <c r="F25" s="377">
        <f t="shared" si="5"/>
        <v>-0.11699164345403899</v>
      </c>
      <c r="G25" s="377">
        <f t="shared" si="5"/>
        <v>-6.8128241395568126E-2</v>
      </c>
      <c r="H25" s="377"/>
      <c r="I25" s="377">
        <f>I24/I12</f>
        <v>-6.5969230769230766E-2</v>
      </c>
      <c r="J25" s="16"/>
      <c r="T25" s="585"/>
    </row>
    <row r="26" spans="1:20" ht="15" customHeight="1" x14ac:dyDescent="0.25">
      <c r="A26" s="646"/>
      <c r="B26" s="647"/>
      <c r="C26" s="647"/>
      <c r="D26" s="647"/>
      <c r="E26" s="647"/>
      <c r="F26" s="647"/>
      <c r="G26" s="647"/>
      <c r="H26" s="647"/>
      <c r="I26" s="647"/>
      <c r="J26" s="16"/>
      <c r="T26" s="585"/>
    </row>
    <row r="27" spans="1:20" ht="15" customHeight="1" x14ac:dyDescent="0.25">
      <c r="A27" s="16"/>
      <c r="B27" s="16"/>
      <c r="C27" s="16"/>
      <c r="D27" s="16"/>
      <c r="E27" s="16"/>
      <c r="F27" s="16"/>
      <c r="G27" s="16"/>
      <c r="H27" s="16"/>
      <c r="I27" s="16"/>
      <c r="J27" s="16"/>
      <c r="T27" s="585"/>
    </row>
    <row r="28" spans="1:20" ht="24" customHeight="1" x14ac:dyDescent="0.25">
      <c r="A28" s="665" t="s">
        <v>558</v>
      </c>
      <c r="B28" s="665"/>
      <c r="C28" s="665"/>
      <c r="D28" s="665"/>
      <c r="E28" s="665"/>
      <c r="F28" s="665"/>
      <c r="G28" s="665"/>
      <c r="H28" s="665"/>
      <c r="I28" s="665"/>
      <c r="J28" s="16"/>
      <c r="T28" s="585"/>
    </row>
    <row r="29" spans="1:20" ht="15" customHeight="1" x14ac:dyDescent="0.25">
      <c r="A29" t="s">
        <v>368</v>
      </c>
      <c r="B29" t="s">
        <v>750</v>
      </c>
      <c r="D29" s="630"/>
      <c r="E29" s="630"/>
      <c r="F29" s="630"/>
      <c r="G29" s="630"/>
      <c r="H29" s="630"/>
      <c r="I29" s="630"/>
      <c r="J29" s="16"/>
      <c r="T29" s="585"/>
    </row>
    <row r="30" spans="1:20" ht="15" customHeight="1" x14ac:dyDescent="0.25">
      <c r="A30" t="s">
        <v>369</v>
      </c>
      <c r="B30" t="s">
        <v>371</v>
      </c>
      <c r="D30" s="630"/>
      <c r="E30" s="630"/>
      <c r="F30" s="630"/>
      <c r="G30" s="630"/>
      <c r="H30" s="630"/>
      <c r="I30" s="630"/>
      <c r="J30" s="16"/>
      <c r="T30" s="585"/>
    </row>
    <row r="31" spans="1:20" ht="15" customHeight="1" x14ac:dyDescent="0.25">
      <c r="A31" t="s">
        <v>370</v>
      </c>
      <c r="B31" t="s">
        <v>372</v>
      </c>
      <c r="D31" s="630"/>
      <c r="E31" s="630"/>
      <c r="F31" s="630"/>
      <c r="G31" s="630"/>
      <c r="H31" s="630"/>
      <c r="I31" s="630"/>
      <c r="J31" s="16"/>
      <c r="T31" s="585"/>
    </row>
    <row r="32" spans="1:20" ht="15" customHeight="1" x14ac:dyDescent="0.25">
      <c r="A32" s="630"/>
      <c r="B32" s="630"/>
      <c r="C32" s="630"/>
      <c r="D32" s="630"/>
      <c r="E32" s="630"/>
      <c r="F32" s="630"/>
      <c r="G32" s="630"/>
      <c r="H32" s="630"/>
      <c r="I32" s="630"/>
      <c r="J32" s="16"/>
      <c r="T32" s="585"/>
    </row>
    <row r="33" spans="1:16384" ht="45" customHeight="1" x14ac:dyDescent="0.25">
      <c r="A33" s="2" t="s">
        <v>1</v>
      </c>
      <c r="B33" s="3" t="s">
        <v>27</v>
      </c>
      <c r="C33" s="3" t="s">
        <v>28</v>
      </c>
      <c r="D33" s="3" t="s">
        <v>2</v>
      </c>
      <c r="E33" s="3" t="s">
        <v>3</v>
      </c>
      <c r="F33" s="3" t="s">
        <v>5</v>
      </c>
      <c r="H33" s="4"/>
      <c r="I33" s="4"/>
      <c r="J33" s="16"/>
      <c r="T33" s="585"/>
    </row>
    <row r="34" spans="1:16384" ht="21" customHeight="1" x14ac:dyDescent="0.25">
      <c r="A34" s="5" t="str">
        <f>'T1'!A16</f>
        <v>2011-12</v>
      </c>
      <c r="B34" s="17">
        <f>'T1'!B16</f>
        <v>4159</v>
      </c>
      <c r="C34" s="17">
        <f>'T1'!C16</f>
        <v>2813</v>
      </c>
      <c r="D34" s="17">
        <f>'T1'!D16</f>
        <v>225</v>
      </c>
      <c r="E34" s="17">
        <f>'T1'!E16</f>
        <v>961</v>
      </c>
      <c r="F34" s="909">
        <f t="shared" ref="F34:F41" si="6">SUM(B34:E34)</f>
        <v>8158</v>
      </c>
      <c r="H34" s="370"/>
      <c r="I34" s="370"/>
      <c r="J34" s="16"/>
      <c r="T34" s="585"/>
    </row>
    <row r="35" spans="1:16384" ht="15" customHeight="1" x14ac:dyDescent="0.25">
      <c r="A35" s="5" t="str">
        <f>'T1'!A17</f>
        <v>2012-13</v>
      </c>
      <c r="B35" s="17">
        <f>'T1'!B17</f>
        <v>4151</v>
      </c>
      <c r="C35" s="17">
        <f>'T1'!C17</f>
        <v>2787</v>
      </c>
      <c r="D35" s="17">
        <f>'T1'!D17</f>
        <v>224</v>
      </c>
      <c r="E35" s="17">
        <f>'T1'!E17</f>
        <v>927</v>
      </c>
      <c r="F35" s="909">
        <f t="shared" si="6"/>
        <v>8089</v>
      </c>
      <c r="H35" s="370"/>
      <c r="I35" s="370"/>
      <c r="J35" s="16"/>
      <c r="T35" s="585"/>
    </row>
    <row r="36" spans="1:16384" ht="15" customHeight="1" x14ac:dyDescent="0.25">
      <c r="A36" s="5" t="str">
        <f>'T1'!A18</f>
        <v>2013-14</v>
      </c>
      <c r="B36" s="17">
        <f>'T1'!B18</f>
        <v>4001</v>
      </c>
      <c r="C36" s="17">
        <f>'T1'!C18</f>
        <v>2665</v>
      </c>
      <c r="D36" s="17">
        <f>'T1'!D18</f>
        <v>213</v>
      </c>
      <c r="E36" s="17">
        <f>'T1'!E18</f>
        <v>811</v>
      </c>
      <c r="F36" s="909">
        <f t="shared" si="6"/>
        <v>7690</v>
      </c>
      <c r="H36" s="370"/>
      <c r="I36" s="370"/>
      <c r="J36" s="16"/>
      <c r="T36" s="585"/>
    </row>
    <row r="37" spans="1:16384" ht="15" customHeight="1" x14ac:dyDescent="0.25">
      <c r="A37" s="5" t="str">
        <f>'T1'!A19</f>
        <v>2014-15</v>
      </c>
      <c r="B37" s="17">
        <f>'T1'!B19</f>
        <v>3856</v>
      </c>
      <c r="C37" s="17">
        <f>'T1'!C19</f>
        <v>2669</v>
      </c>
      <c r="D37" s="17">
        <f>'T1'!D19</f>
        <v>221</v>
      </c>
      <c r="E37" s="17">
        <f>'T1'!E19</f>
        <v>744</v>
      </c>
      <c r="F37" s="909">
        <f t="shared" si="6"/>
        <v>7490</v>
      </c>
      <c r="H37" s="370"/>
      <c r="I37" s="370"/>
      <c r="J37" s="16"/>
      <c r="T37" s="585"/>
    </row>
    <row r="38" spans="1:16384" ht="15" customHeight="1" x14ac:dyDescent="0.25">
      <c r="A38" s="5" t="str">
        <f>'T1'!A20</f>
        <v>2015-16</v>
      </c>
      <c r="B38" s="17">
        <f>'T1'!B20</f>
        <v>3690</v>
      </c>
      <c r="C38" s="17">
        <f>'T1'!C20</f>
        <v>2527</v>
      </c>
      <c r="D38" s="17">
        <f>'T1'!D20</f>
        <v>195</v>
      </c>
      <c r="E38" s="17">
        <f>'T1'!E20</f>
        <v>719</v>
      </c>
      <c r="F38" s="909">
        <f t="shared" si="6"/>
        <v>7131</v>
      </c>
      <c r="H38" s="370"/>
      <c r="I38" s="370"/>
      <c r="J38" s="1001"/>
      <c r="K38" s="1001"/>
      <c r="L38" s="1001"/>
      <c r="M38" s="1001"/>
      <c r="N38" s="1001"/>
      <c r="O38" s="1001"/>
      <c r="P38" s="1001"/>
      <c r="Q38" s="1001"/>
      <c r="R38" s="1001"/>
      <c r="S38" s="1001"/>
      <c r="T38" s="1001"/>
      <c r="U38" s="1001"/>
      <c r="V38" s="1001"/>
      <c r="W38" s="1001"/>
      <c r="X38" s="1001"/>
      <c r="Y38" s="1001"/>
      <c r="Z38" s="1001"/>
      <c r="AA38" s="1001"/>
      <c r="AB38" s="1001"/>
      <c r="AC38" s="1001"/>
      <c r="AD38" s="1001"/>
      <c r="AE38" s="1001"/>
      <c r="AF38" s="1001"/>
      <c r="AG38" s="1001"/>
      <c r="AH38" s="1001"/>
      <c r="AI38" s="1001"/>
      <c r="AJ38" s="1001"/>
      <c r="AK38" s="1001"/>
      <c r="AL38" s="1001"/>
      <c r="AM38" s="1001"/>
      <c r="AN38" s="1001"/>
      <c r="AO38" s="1001"/>
      <c r="AP38" s="1001"/>
      <c r="AQ38" s="1001"/>
      <c r="AR38" s="1001"/>
      <c r="AS38" s="1001"/>
      <c r="AT38" s="1001"/>
      <c r="AU38" s="1001"/>
      <c r="AV38" s="1001"/>
      <c r="AW38" s="1001"/>
      <c r="AX38" s="1001"/>
      <c r="AY38" s="1001"/>
      <c r="AZ38" s="1001"/>
      <c r="BA38" s="1001"/>
      <c r="BB38" s="1001"/>
      <c r="BC38" s="1001"/>
      <c r="BD38" s="1001"/>
      <c r="BE38" s="1001"/>
      <c r="BF38" s="1001"/>
      <c r="BG38" s="1001"/>
      <c r="BH38" s="1001"/>
      <c r="BI38" s="1001"/>
      <c r="BJ38" s="1001"/>
      <c r="BK38" s="1001"/>
      <c r="BL38" s="1001"/>
      <c r="BM38" s="1001"/>
      <c r="BN38" s="1001"/>
      <c r="BO38" s="1001"/>
      <c r="BP38" s="1001"/>
      <c r="BQ38" s="1001"/>
      <c r="BR38" s="1001"/>
      <c r="BS38" s="1001"/>
      <c r="BT38" s="1001"/>
      <c r="BU38" s="1001"/>
      <c r="BV38" s="1001"/>
      <c r="BW38" s="1001"/>
      <c r="BX38" s="1001"/>
      <c r="BY38" s="1001"/>
      <c r="BZ38" s="1001"/>
      <c r="CA38" s="1001"/>
      <c r="CB38" s="1001"/>
      <c r="CC38" s="1001"/>
      <c r="CD38" s="1001"/>
      <c r="CE38" s="1001"/>
      <c r="CF38" s="1001"/>
      <c r="CG38" s="1001"/>
      <c r="CH38" s="1001"/>
      <c r="CI38" s="1001"/>
      <c r="CJ38" s="1001"/>
      <c r="CK38" s="1001"/>
      <c r="CL38" s="1001"/>
      <c r="CM38" s="1001"/>
      <c r="CN38" s="1001"/>
      <c r="CO38" s="1001"/>
      <c r="CP38" s="1001"/>
      <c r="CQ38" s="1001"/>
      <c r="CR38" s="1001"/>
      <c r="CS38" s="1001"/>
      <c r="CT38" s="1001"/>
      <c r="CU38" s="1001"/>
      <c r="CV38" s="1001"/>
      <c r="CW38" s="1001"/>
      <c r="CX38" s="1001"/>
      <c r="CY38" s="1001"/>
      <c r="CZ38" s="1001"/>
      <c r="DA38" s="1001"/>
      <c r="DB38" s="1001"/>
      <c r="DC38" s="1001"/>
      <c r="DD38" s="1001"/>
      <c r="DE38" s="1001"/>
      <c r="DF38" s="1001"/>
      <c r="DG38" s="1001"/>
      <c r="DH38" s="1001"/>
      <c r="DI38" s="1001"/>
      <c r="DJ38" s="1001"/>
      <c r="DK38" s="1001"/>
      <c r="DL38" s="1001"/>
      <c r="DM38" s="1001"/>
      <c r="DN38" s="1001"/>
      <c r="DO38" s="1001"/>
      <c r="DP38" s="1001"/>
      <c r="DQ38" s="1001"/>
      <c r="DR38" s="1001"/>
      <c r="DS38" s="1001"/>
      <c r="DT38" s="1001"/>
      <c r="DU38" s="1001"/>
      <c r="DV38" s="1001"/>
      <c r="DW38" s="1001"/>
      <c r="DX38" s="1001"/>
      <c r="DY38" s="1001"/>
      <c r="DZ38" s="1001"/>
      <c r="EA38" s="1001"/>
      <c r="EB38" s="1001"/>
      <c r="EC38" s="1001"/>
      <c r="ED38" s="1001"/>
      <c r="EE38" s="1001"/>
      <c r="EF38" s="1001"/>
      <c r="EG38" s="1001"/>
      <c r="EH38" s="1001"/>
      <c r="EI38" s="1001"/>
      <c r="EJ38" s="1001"/>
      <c r="EK38" s="1001"/>
      <c r="EL38" s="1001"/>
      <c r="EM38" s="1001"/>
      <c r="EN38" s="1001"/>
      <c r="EO38" s="1001"/>
      <c r="EP38" s="1001"/>
      <c r="EQ38" s="1001"/>
      <c r="ER38" s="1001"/>
      <c r="ES38" s="1001"/>
      <c r="ET38" s="1001"/>
      <c r="EU38" s="1001"/>
      <c r="EV38" s="1001"/>
      <c r="EW38" s="1001"/>
      <c r="EX38" s="1001"/>
      <c r="EY38" s="1001"/>
      <c r="EZ38" s="1001"/>
      <c r="FA38" s="1001"/>
      <c r="FB38" s="1001"/>
      <c r="FC38" s="1001"/>
      <c r="FD38" s="1001"/>
      <c r="FE38" s="1001"/>
      <c r="FF38" s="1001"/>
      <c r="FG38" s="1001"/>
      <c r="FH38" s="1001"/>
      <c r="FI38" s="1001"/>
      <c r="FJ38" s="1001"/>
      <c r="FK38" s="1001"/>
      <c r="FL38" s="1001"/>
      <c r="FM38" s="1001"/>
      <c r="FN38" s="1001"/>
      <c r="FO38" s="1001"/>
      <c r="FP38" s="1001"/>
      <c r="FQ38" s="1001"/>
      <c r="FR38" s="1001"/>
      <c r="FS38" s="1001"/>
      <c r="FT38" s="1001"/>
      <c r="FU38" s="1001"/>
      <c r="FV38" s="1001"/>
      <c r="FW38" s="1001"/>
      <c r="FX38" s="1001"/>
      <c r="FY38" s="1001"/>
      <c r="FZ38" s="1001"/>
      <c r="GA38" s="1001"/>
      <c r="GB38" s="1001"/>
      <c r="GC38" s="1001"/>
      <c r="GD38" s="1001"/>
      <c r="GE38" s="1001"/>
      <c r="GF38" s="1001"/>
      <c r="GG38" s="1001"/>
      <c r="GH38" s="1001"/>
      <c r="GI38" s="1001"/>
      <c r="GJ38" s="1001"/>
      <c r="GK38" s="1001"/>
      <c r="GL38" s="1001"/>
      <c r="GM38" s="1001"/>
      <c r="GN38" s="1001"/>
      <c r="GO38" s="1001"/>
      <c r="GP38" s="1001"/>
      <c r="GQ38" s="1001"/>
      <c r="GR38" s="1001"/>
      <c r="GS38" s="1001"/>
      <c r="GT38" s="1001"/>
      <c r="GU38" s="1001"/>
      <c r="GV38" s="1001"/>
      <c r="GW38" s="1001"/>
      <c r="GX38" s="1001"/>
      <c r="GY38" s="1001"/>
      <c r="GZ38" s="1001"/>
      <c r="HA38" s="1001"/>
      <c r="HB38" s="1001"/>
      <c r="HC38" s="1001"/>
      <c r="HD38" s="1001"/>
      <c r="HE38" s="1001"/>
      <c r="HF38" s="1001"/>
      <c r="HG38" s="1001"/>
      <c r="HH38" s="1001"/>
      <c r="HI38" s="1001"/>
      <c r="HJ38" s="1001"/>
      <c r="HK38" s="1001"/>
      <c r="HL38" s="1001"/>
      <c r="HM38" s="1001"/>
      <c r="HN38" s="1001"/>
      <c r="HO38" s="1001"/>
      <c r="HP38" s="1001"/>
      <c r="HQ38" s="1001"/>
      <c r="HR38" s="1001"/>
      <c r="HS38" s="1001"/>
      <c r="HT38" s="1001"/>
      <c r="HU38" s="1001"/>
      <c r="HV38" s="1001"/>
      <c r="HW38" s="1001"/>
      <c r="HX38" s="1001"/>
      <c r="HY38" s="1001"/>
      <c r="HZ38" s="1001"/>
      <c r="IA38" s="1001"/>
      <c r="IB38" s="1001"/>
      <c r="IC38" s="1001"/>
      <c r="ID38" s="1001"/>
      <c r="IE38" s="1001"/>
      <c r="IF38" s="1001"/>
      <c r="IG38" s="1001"/>
      <c r="IH38" s="1001"/>
      <c r="II38" s="1001"/>
      <c r="IJ38" s="1001"/>
      <c r="IK38" s="1001"/>
      <c r="IL38" s="1001"/>
      <c r="IM38" s="1001"/>
      <c r="IN38" s="1001"/>
      <c r="IO38" s="1001"/>
      <c r="IP38" s="1001"/>
      <c r="IQ38" s="1001"/>
      <c r="IR38" s="1001"/>
      <c r="IS38" s="1001"/>
      <c r="IT38" s="1001"/>
      <c r="IU38" s="1001"/>
      <c r="IV38" s="1001"/>
      <c r="IW38" s="1001"/>
      <c r="IX38" s="1001"/>
      <c r="IY38" s="1001"/>
      <c r="IZ38" s="1001"/>
      <c r="JA38" s="1001"/>
      <c r="JB38" s="1001"/>
      <c r="JC38" s="1001"/>
      <c r="JD38" s="1001"/>
      <c r="JE38" s="1001"/>
      <c r="JF38" s="1001"/>
      <c r="JG38" s="1001"/>
      <c r="JH38" s="1001"/>
      <c r="JI38" s="1001"/>
      <c r="JJ38" s="1001"/>
      <c r="JK38" s="1001"/>
      <c r="JL38" s="1001"/>
      <c r="JM38" s="1001"/>
      <c r="JN38" s="1001"/>
      <c r="JO38" s="1001"/>
      <c r="JP38" s="1001"/>
      <c r="JQ38" s="1001"/>
      <c r="JR38" s="1001"/>
      <c r="JS38" s="1001"/>
      <c r="JT38" s="1001"/>
      <c r="JU38" s="1001"/>
      <c r="JV38" s="1001"/>
      <c r="JW38" s="1001"/>
      <c r="JX38" s="1001"/>
      <c r="JY38" s="1001"/>
      <c r="JZ38" s="1001"/>
      <c r="KA38" s="1001"/>
      <c r="KB38" s="1001"/>
      <c r="KC38" s="1001"/>
      <c r="KD38" s="1001"/>
      <c r="KE38" s="1001"/>
      <c r="KF38" s="1001"/>
      <c r="KG38" s="1001"/>
      <c r="KH38" s="1001"/>
      <c r="KI38" s="1001"/>
      <c r="KJ38" s="1001"/>
      <c r="KK38" s="1001"/>
      <c r="KL38" s="1001"/>
      <c r="KM38" s="1001"/>
      <c r="KN38" s="1001"/>
      <c r="KO38" s="1001"/>
      <c r="KP38" s="1001"/>
      <c r="KQ38" s="1001"/>
      <c r="KR38" s="1001"/>
      <c r="KS38" s="1001"/>
      <c r="KT38" s="1001"/>
      <c r="KU38" s="1001"/>
      <c r="KV38" s="1001"/>
      <c r="KW38" s="1001"/>
      <c r="KX38" s="1001"/>
      <c r="KY38" s="1001"/>
      <c r="KZ38" s="1001"/>
      <c r="LA38" s="1001"/>
      <c r="LB38" s="1001"/>
      <c r="LC38" s="1001"/>
      <c r="LD38" s="1001"/>
      <c r="LE38" s="1001"/>
      <c r="LF38" s="1001"/>
      <c r="LG38" s="1001"/>
      <c r="LH38" s="1001"/>
      <c r="LI38" s="1001"/>
      <c r="LJ38" s="1001"/>
      <c r="LK38" s="1001"/>
      <c r="LL38" s="1001"/>
      <c r="LM38" s="1001"/>
      <c r="LN38" s="1001"/>
      <c r="LO38" s="1001"/>
      <c r="LP38" s="1001"/>
      <c r="LQ38" s="1001"/>
      <c r="LR38" s="1001"/>
      <c r="LS38" s="1001"/>
      <c r="LT38" s="1001"/>
      <c r="LU38" s="1001"/>
      <c r="LV38" s="1001"/>
      <c r="LW38" s="1001"/>
      <c r="LX38" s="1001"/>
      <c r="LY38" s="1001"/>
      <c r="LZ38" s="1001"/>
      <c r="MA38" s="1001"/>
      <c r="MB38" s="1001"/>
      <c r="MC38" s="1001"/>
      <c r="MD38" s="1001"/>
      <c r="ME38" s="1001"/>
      <c r="MF38" s="1001"/>
      <c r="MG38" s="1001"/>
      <c r="MH38" s="1001"/>
      <c r="MI38" s="1001"/>
      <c r="MJ38" s="1001"/>
      <c r="MK38" s="1001"/>
      <c r="ML38" s="1001"/>
      <c r="MM38" s="1001"/>
      <c r="MN38" s="1001"/>
      <c r="MO38" s="1001"/>
      <c r="MP38" s="1001"/>
      <c r="MQ38" s="1001"/>
      <c r="MR38" s="1001"/>
      <c r="MS38" s="1001"/>
      <c r="MT38" s="1001"/>
      <c r="MU38" s="1001"/>
      <c r="MV38" s="1001"/>
      <c r="MW38" s="1001"/>
      <c r="MX38" s="1001"/>
      <c r="MY38" s="1001"/>
      <c r="MZ38" s="1001"/>
      <c r="NA38" s="1001"/>
      <c r="NB38" s="1001"/>
      <c r="NC38" s="1001"/>
      <c r="ND38" s="1001"/>
      <c r="NE38" s="1001"/>
      <c r="NF38" s="1001"/>
      <c r="NG38" s="1001"/>
      <c r="NH38" s="1001"/>
      <c r="NI38" s="1001"/>
      <c r="NJ38" s="1001"/>
      <c r="NK38" s="1001"/>
      <c r="NL38" s="1001"/>
      <c r="NM38" s="1001"/>
      <c r="NN38" s="1001"/>
      <c r="NO38" s="1001"/>
      <c r="NP38" s="1001"/>
      <c r="NQ38" s="1001"/>
      <c r="NR38" s="1001"/>
      <c r="NS38" s="1001"/>
      <c r="NT38" s="1001"/>
      <c r="NU38" s="1001"/>
      <c r="NV38" s="1001"/>
      <c r="NW38" s="1001"/>
      <c r="NX38" s="1001"/>
      <c r="NY38" s="1001"/>
      <c r="NZ38" s="1001"/>
      <c r="OA38" s="1001"/>
      <c r="OB38" s="1001"/>
      <c r="OC38" s="1001"/>
      <c r="OD38" s="1001"/>
      <c r="OE38" s="1001"/>
      <c r="OF38" s="1001"/>
      <c r="OG38" s="1001"/>
      <c r="OH38" s="1001"/>
      <c r="OI38" s="1001"/>
      <c r="OJ38" s="1001"/>
      <c r="OK38" s="1001"/>
      <c r="OL38" s="1001"/>
      <c r="OM38" s="1001"/>
      <c r="ON38" s="1001"/>
      <c r="OO38" s="1001"/>
      <c r="OP38" s="1001"/>
      <c r="OQ38" s="1001"/>
      <c r="OR38" s="1001"/>
      <c r="OS38" s="1001"/>
      <c r="OT38" s="1001"/>
      <c r="OU38" s="1001"/>
      <c r="OV38" s="1001"/>
      <c r="OW38" s="1001"/>
      <c r="OX38" s="1001"/>
      <c r="OY38" s="1001"/>
      <c r="OZ38" s="1001"/>
      <c r="PA38" s="1001"/>
      <c r="PB38" s="1001"/>
      <c r="PC38" s="1001"/>
      <c r="PD38" s="1001"/>
      <c r="PE38" s="1001"/>
      <c r="PF38" s="1001"/>
      <c r="PG38" s="1001"/>
      <c r="PH38" s="1001"/>
      <c r="PI38" s="1001"/>
      <c r="PJ38" s="1001"/>
      <c r="PK38" s="1001"/>
      <c r="PL38" s="1001"/>
      <c r="PM38" s="1001"/>
      <c r="PN38" s="1001"/>
      <c r="PO38" s="1001"/>
      <c r="PP38" s="1001"/>
      <c r="PQ38" s="1001"/>
      <c r="PR38" s="1001"/>
      <c r="PS38" s="1001"/>
      <c r="PT38" s="1001"/>
      <c r="PU38" s="1001"/>
      <c r="PV38" s="1001"/>
      <c r="PW38" s="1001"/>
      <c r="PX38" s="1001"/>
      <c r="PY38" s="1001"/>
      <c r="PZ38" s="1001"/>
      <c r="QA38" s="1001"/>
      <c r="QB38" s="1001"/>
      <c r="QC38" s="1001"/>
      <c r="QD38" s="1001"/>
      <c r="QE38" s="1001"/>
      <c r="QF38" s="1001"/>
      <c r="QG38" s="1001"/>
      <c r="QH38" s="1001"/>
      <c r="QI38" s="1001"/>
      <c r="QJ38" s="1001"/>
      <c r="QK38" s="1001"/>
      <c r="QL38" s="1001"/>
      <c r="QM38" s="1001"/>
      <c r="QN38" s="1001"/>
      <c r="QO38" s="1001"/>
      <c r="QP38" s="1001"/>
      <c r="QQ38" s="1001"/>
      <c r="QR38" s="1001"/>
      <c r="QS38" s="1001"/>
      <c r="QT38" s="1001"/>
      <c r="QU38" s="1001"/>
      <c r="QV38" s="1001"/>
      <c r="QW38" s="1001"/>
      <c r="QX38" s="1001"/>
      <c r="QY38" s="1001"/>
      <c r="QZ38" s="1001"/>
      <c r="RA38" s="1001"/>
      <c r="RB38" s="1001"/>
      <c r="RC38" s="1001"/>
      <c r="RD38" s="1001"/>
      <c r="RE38" s="1001"/>
      <c r="RF38" s="1001"/>
      <c r="RG38" s="1001"/>
      <c r="RH38" s="1001"/>
      <c r="RI38" s="1001"/>
      <c r="RJ38" s="1001"/>
      <c r="RK38" s="1001"/>
      <c r="RL38" s="1001"/>
      <c r="RM38" s="1001"/>
      <c r="RN38" s="1001"/>
      <c r="RO38" s="1001"/>
      <c r="RP38" s="1001"/>
      <c r="RQ38" s="1001"/>
      <c r="RR38" s="1001"/>
      <c r="RS38" s="1001"/>
      <c r="RT38" s="1001"/>
      <c r="RU38" s="1001"/>
      <c r="RV38" s="1001"/>
      <c r="RW38" s="1001"/>
      <c r="RX38" s="1001"/>
      <c r="RY38" s="1001"/>
      <c r="RZ38" s="1001"/>
      <c r="SA38" s="1001"/>
      <c r="SB38" s="1001"/>
      <c r="SC38" s="1001"/>
      <c r="SD38" s="1001"/>
      <c r="SE38" s="1001"/>
      <c r="SF38" s="1001"/>
      <c r="SG38" s="1001"/>
      <c r="SH38" s="1001"/>
      <c r="SI38" s="1001"/>
      <c r="SJ38" s="1001"/>
      <c r="SK38" s="1001"/>
      <c r="SL38" s="1001"/>
      <c r="SM38" s="1001"/>
      <c r="SN38" s="1001"/>
      <c r="SO38" s="1001"/>
      <c r="SP38" s="1001"/>
      <c r="SQ38" s="1001"/>
      <c r="SR38" s="1001"/>
      <c r="SS38" s="1001"/>
      <c r="ST38" s="1001"/>
      <c r="SU38" s="1001"/>
      <c r="SV38" s="1001"/>
      <c r="SW38" s="1001"/>
      <c r="SX38" s="1001"/>
      <c r="SY38" s="1001"/>
      <c r="SZ38" s="1001"/>
      <c r="TA38" s="1001"/>
      <c r="TB38" s="1001"/>
      <c r="TC38" s="1001"/>
      <c r="TD38" s="1001"/>
      <c r="TE38" s="1001"/>
      <c r="TF38" s="1001"/>
      <c r="TG38" s="1001"/>
      <c r="TH38" s="1001"/>
      <c r="TI38" s="1001"/>
      <c r="TJ38" s="1001"/>
      <c r="TK38" s="1001"/>
      <c r="TL38" s="1001"/>
      <c r="TM38" s="1001"/>
      <c r="TN38" s="1001"/>
      <c r="TO38" s="1001"/>
      <c r="TP38" s="1001"/>
      <c r="TQ38" s="1001"/>
      <c r="TR38" s="1001"/>
      <c r="TS38" s="1001"/>
      <c r="TT38" s="1001"/>
      <c r="TU38" s="1001"/>
      <c r="TV38" s="1001"/>
      <c r="TW38" s="1001"/>
      <c r="TX38" s="1001"/>
      <c r="TY38" s="1001"/>
      <c r="TZ38" s="1001"/>
      <c r="UA38" s="1001"/>
      <c r="UB38" s="1001"/>
      <c r="UC38" s="1001"/>
      <c r="UD38" s="1001"/>
      <c r="UE38" s="1001"/>
      <c r="UF38" s="1001"/>
      <c r="UG38" s="1001"/>
      <c r="UH38" s="1001"/>
      <c r="UI38" s="1001"/>
      <c r="UJ38" s="1001"/>
      <c r="UK38" s="1001"/>
      <c r="UL38" s="1001"/>
      <c r="UM38" s="1001"/>
      <c r="UN38" s="1001"/>
      <c r="UO38" s="1001"/>
      <c r="UP38" s="1001"/>
      <c r="UQ38" s="1001"/>
      <c r="UR38" s="1001"/>
      <c r="US38" s="1001"/>
      <c r="UT38" s="1001"/>
      <c r="UU38" s="1001"/>
      <c r="UV38" s="1001"/>
      <c r="UW38" s="1001"/>
      <c r="UX38" s="1001"/>
      <c r="UY38" s="1001"/>
      <c r="UZ38" s="1001"/>
      <c r="VA38" s="1001"/>
      <c r="VB38" s="1001"/>
      <c r="VC38" s="1001"/>
      <c r="VD38" s="1001"/>
      <c r="VE38" s="1001"/>
      <c r="VF38" s="1001"/>
      <c r="VG38" s="1001"/>
      <c r="VH38" s="1001"/>
      <c r="VI38" s="1001"/>
      <c r="VJ38" s="1001"/>
      <c r="VK38" s="1001"/>
      <c r="VL38" s="1001"/>
      <c r="VM38" s="1001"/>
      <c r="VN38" s="1001"/>
      <c r="VO38" s="1001"/>
      <c r="VP38" s="1001"/>
      <c r="VQ38" s="1001"/>
      <c r="VR38" s="1001"/>
      <c r="VS38" s="1001"/>
      <c r="VT38" s="1001"/>
      <c r="VU38" s="1001"/>
      <c r="VV38" s="1001"/>
      <c r="VW38" s="1001"/>
      <c r="VX38" s="1001"/>
      <c r="VY38" s="1001"/>
      <c r="VZ38" s="1001"/>
      <c r="WA38" s="1001"/>
      <c r="WB38" s="1001"/>
      <c r="WC38" s="1001"/>
      <c r="WD38" s="1001"/>
      <c r="WE38" s="1001"/>
      <c r="WF38" s="1001"/>
      <c r="WG38" s="1001"/>
      <c r="WH38" s="1001"/>
      <c r="WI38" s="1001"/>
      <c r="WJ38" s="1001"/>
      <c r="WK38" s="1001"/>
      <c r="WL38" s="1001"/>
      <c r="WM38" s="1001"/>
      <c r="WN38" s="1001"/>
      <c r="WO38" s="1001"/>
      <c r="WP38" s="1001"/>
      <c r="WQ38" s="1001"/>
      <c r="WR38" s="1001"/>
      <c r="WS38" s="1001"/>
      <c r="WT38" s="1001"/>
      <c r="WU38" s="1001"/>
      <c r="WV38" s="1001"/>
      <c r="WW38" s="1001"/>
      <c r="WX38" s="1001"/>
      <c r="WY38" s="1001"/>
      <c r="WZ38" s="1001"/>
      <c r="XA38" s="1001"/>
      <c r="XB38" s="1001"/>
      <c r="XC38" s="1001"/>
      <c r="XD38" s="1001"/>
      <c r="XE38" s="1001"/>
      <c r="XF38" s="1001"/>
      <c r="XG38" s="1001"/>
      <c r="XH38" s="1001"/>
      <c r="XI38" s="1001"/>
      <c r="XJ38" s="1001"/>
      <c r="XK38" s="1001"/>
      <c r="XL38" s="1001"/>
      <c r="XM38" s="1001"/>
      <c r="XN38" s="1001"/>
      <c r="XO38" s="1001"/>
      <c r="XP38" s="1001"/>
      <c r="XQ38" s="1001"/>
      <c r="XR38" s="1001"/>
      <c r="XS38" s="1001"/>
      <c r="XT38" s="1001"/>
      <c r="XU38" s="1001"/>
      <c r="XV38" s="1001"/>
      <c r="XW38" s="1001"/>
      <c r="XX38" s="1001"/>
      <c r="XY38" s="1001"/>
      <c r="XZ38" s="1001"/>
      <c r="YA38" s="1001"/>
      <c r="YB38" s="1001"/>
      <c r="YC38" s="1001"/>
      <c r="YD38" s="1001"/>
      <c r="YE38" s="1001"/>
      <c r="YF38" s="1001"/>
      <c r="YG38" s="1001"/>
      <c r="YH38" s="1001"/>
      <c r="YI38" s="1001"/>
      <c r="YJ38" s="1001"/>
      <c r="YK38" s="1001"/>
      <c r="YL38" s="1001"/>
      <c r="YM38" s="1001"/>
      <c r="YN38" s="1001"/>
      <c r="YO38" s="1001"/>
      <c r="YP38" s="1001"/>
      <c r="YQ38" s="1001"/>
      <c r="YR38" s="1001"/>
      <c r="YS38" s="1001"/>
      <c r="YT38" s="1001"/>
      <c r="YU38" s="1001"/>
      <c r="YV38" s="1001"/>
      <c r="YW38" s="1001"/>
      <c r="YX38" s="1001"/>
      <c r="YY38" s="1001"/>
      <c r="YZ38" s="1001"/>
      <c r="ZA38" s="1001"/>
      <c r="ZB38" s="1001"/>
      <c r="ZC38" s="1001"/>
      <c r="ZD38" s="1001"/>
      <c r="ZE38" s="1001"/>
      <c r="ZF38" s="1001"/>
      <c r="ZG38" s="1001"/>
      <c r="ZH38" s="1001"/>
      <c r="ZI38" s="1001"/>
      <c r="ZJ38" s="1001"/>
      <c r="ZK38" s="1001"/>
      <c r="ZL38" s="1001"/>
      <c r="ZM38" s="1001"/>
      <c r="ZN38" s="1001"/>
      <c r="ZO38" s="1001"/>
      <c r="ZP38" s="1001"/>
      <c r="ZQ38" s="1001"/>
      <c r="ZR38" s="1001"/>
      <c r="ZS38" s="1001"/>
      <c r="ZT38" s="1001"/>
      <c r="ZU38" s="1001"/>
      <c r="ZV38" s="1001"/>
      <c r="ZW38" s="1001"/>
      <c r="ZX38" s="1001"/>
      <c r="ZY38" s="1001"/>
      <c r="ZZ38" s="1001"/>
      <c r="AAA38" s="1001"/>
      <c r="AAB38" s="1001"/>
      <c r="AAC38" s="1001"/>
      <c r="AAD38" s="1001"/>
      <c r="AAE38" s="1001"/>
      <c r="AAF38" s="1001"/>
      <c r="AAG38" s="1001"/>
      <c r="AAH38" s="1001"/>
      <c r="AAI38" s="1001"/>
      <c r="AAJ38" s="1001"/>
      <c r="AAK38" s="1001"/>
      <c r="AAL38" s="1001"/>
      <c r="AAM38" s="1001"/>
      <c r="AAN38" s="1001"/>
      <c r="AAO38" s="1001"/>
      <c r="AAP38" s="1001"/>
      <c r="AAQ38" s="1001"/>
      <c r="AAR38" s="1001"/>
      <c r="AAS38" s="1001"/>
      <c r="AAT38" s="1001"/>
      <c r="AAU38" s="1001"/>
      <c r="AAV38" s="1001"/>
      <c r="AAW38" s="1001"/>
      <c r="AAX38" s="1001"/>
      <c r="AAY38" s="1001"/>
      <c r="AAZ38" s="1001"/>
      <c r="ABA38" s="1001"/>
      <c r="ABB38" s="1001"/>
      <c r="ABC38" s="1001"/>
      <c r="ABD38" s="1001"/>
      <c r="ABE38" s="1001"/>
      <c r="ABF38" s="1001"/>
      <c r="ABG38" s="1001"/>
      <c r="ABH38" s="1001"/>
      <c r="ABI38" s="1001"/>
      <c r="ABJ38" s="1001"/>
      <c r="ABK38" s="1001"/>
      <c r="ABL38" s="1001"/>
      <c r="ABM38" s="1001"/>
      <c r="ABN38" s="1001"/>
      <c r="ABO38" s="1001"/>
      <c r="ABP38" s="1001"/>
      <c r="ABQ38" s="1001"/>
      <c r="ABR38" s="1001"/>
      <c r="ABS38" s="1001"/>
      <c r="ABT38" s="1001"/>
      <c r="ABU38" s="1001"/>
      <c r="ABV38" s="1001"/>
      <c r="ABW38" s="1001"/>
      <c r="ABX38" s="1001"/>
      <c r="ABY38" s="1001"/>
      <c r="ABZ38" s="1001"/>
      <c r="ACA38" s="1001"/>
      <c r="ACB38" s="1001"/>
      <c r="ACC38" s="1001"/>
      <c r="ACD38" s="1001"/>
      <c r="ACE38" s="1001"/>
      <c r="ACF38" s="1001"/>
      <c r="ACG38" s="1001"/>
      <c r="ACH38" s="1001"/>
      <c r="ACI38" s="1001"/>
      <c r="ACJ38" s="1001"/>
      <c r="ACK38" s="1001"/>
      <c r="ACL38" s="1001"/>
      <c r="ACM38" s="1001"/>
      <c r="ACN38" s="1001"/>
      <c r="ACO38" s="1001"/>
      <c r="ACP38" s="1001"/>
      <c r="ACQ38" s="1001"/>
      <c r="ACR38" s="1001"/>
      <c r="ACS38" s="1001"/>
      <c r="ACT38" s="1001"/>
      <c r="ACU38" s="1001"/>
      <c r="ACV38" s="1001"/>
      <c r="ACW38" s="1001"/>
      <c r="ACX38" s="1001"/>
      <c r="ACY38" s="1001"/>
      <c r="ACZ38" s="1001"/>
      <c r="ADA38" s="1001"/>
      <c r="ADB38" s="1001"/>
      <c r="ADC38" s="1001"/>
      <c r="ADD38" s="1001"/>
      <c r="ADE38" s="1001"/>
      <c r="ADF38" s="1001"/>
      <c r="ADG38" s="1001"/>
      <c r="ADH38" s="1001"/>
      <c r="ADI38" s="1001"/>
      <c r="ADJ38" s="1001"/>
      <c r="ADK38" s="1001"/>
      <c r="ADL38" s="1001"/>
      <c r="ADM38" s="1001"/>
      <c r="ADN38" s="1001"/>
      <c r="ADO38" s="1001"/>
      <c r="ADP38" s="1001"/>
      <c r="ADQ38" s="1001"/>
      <c r="ADR38" s="1001"/>
      <c r="ADS38" s="1001"/>
      <c r="ADT38" s="1001"/>
      <c r="ADU38" s="1001"/>
      <c r="ADV38" s="1001"/>
      <c r="ADW38" s="1001"/>
      <c r="ADX38" s="1001"/>
      <c r="ADY38" s="1001"/>
      <c r="ADZ38" s="1001"/>
      <c r="AEA38" s="1001"/>
      <c r="AEB38" s="1001"/>
      <c r="AEC38" s="1001"/>
      <c r="AED38" s="1001"/>
      <c r="AEE38" s="1001"/>
      <c r="AEF38" s="1001"/>
      <c r="AEG38" s="1001"/>
      <c r="AEH38" s="1001"/>
      <c r="AEI38" s="1001"/>
      <c r="AEJ38" s="1001"/>
      <c r="AEK38" s="1001"/>
      <c r="AEL38" s="1001"/>
      <c r="AEM38" s="1001"/>
      <c r="AEN38" s="1001"/>
      <c r="AEO38" s="1001"/>
      <c r="AEP38" s="1001"/>
      <c r="AEQ38" s="1001"/>
      <c r="AER38" s="1001"/>
      <c r="AES38" s="1001"/>
      <c r="AET38" s="1001"/>
      <c r="AEU38" s="1001"/>
      <c r="AEV38" s="1001"/>
      <c r="AEW38" s="1001"/>
      <c r="AEX38" s="1001"/>
      <c r="AEY38" s="1001"/>
      <c r="AEZ38" s="1001"/>
      <c r="AFA38" s="1001"/>
      <c r="AFB38" s="1001"/>
      <c r="AFC38" s="1001"/>
      <c r="AFD38" s="1001"/>
      <c r="AFE38" s="1001"/>
      <c r="AFF38" s="1001"/>
      <c r="AFG38" s="1001"/>
      <c r="AFH38" s="1001"/>
      <c r="AFI38" s="1001"/>
      <c r="AFJ38" s="1001"/>
      <c r="AFK38" s="1001"/>
      <c r="AFL38" s="1001"/>
      <c r="AFM38" s="1001"/>
      <c r="AFN38" s="1001"/>
      <c r="AFO38" s="1001"/>
      <c r="AFP38" s="1001"/>
      <c r="AFQ38" s="1001"/>
      <c r="AFR38" s="1001"/>
      <c r="AFS38" s="1001"/>
      <c r="AFT38" s="1001"/>
      <c r="AFU38" s="1001"/>
      <c r="AFV38" s="1001"/>
      <c r="AFW38" s="1001"/>
      <c r="AFX38" s="1001"/>
      <c r="AFY38" s="1001"/>
      <c r="AFZ38" s="1001"/>
      <c r="AGA38" s="1001"/>
      <c r="AGB38" s="1001"/>
      <c r="AGC38" s="1001"/>
      <c r="AGD38" s="1001"/>
      <c r="AGE38" s="1001"/>
      <c r="AGF38" s="1001"/>
      <c r="AGG38" s="1001"/>
      <c r="AGH38" s="1001"/>
      <c r="AGI38" s="1001"/>
      <c r="AGJ38" s="1001"/>
      <c r="AGK38" s="1001"/>
      <c r="AGL38" s="1001"/>
      <c r="AGM38" s="1001"/>
      <c r="AGN38" s="1001"/>
      <c r="AGO38" s="1001"/>
      <c r="AGP38" s="1001"/>
      <c r="AGQ38" s="1001"/>
      <c r="AGR38" s="1001"/>
      <c r="AGS38" s="1001"/>
      <c r="AGT38" s="1001"/>
      <c r="AGU38" s="1001"/>
      <c r="AGV38" s="1001"/>
      <c r="AGW38" s="1001"/>
      <c r="AGX38" s="1001"/>
      <c r="AGY38" s="1001"/>
      <c r="AGZ38" s="1001"/>
      <c r="AHA38" s="1001"/>
      <c r="AHB38" s="1001"/>
      <c r="AHC38" s="1001"/>
      <c r="AHD38" s="1001"/>
      <c r="AHE38" s="1001"/>
      <c r="AHF38" s="1001"/>
      <c r="AHG38" s="1001"/>
      <c r="AHH38" s="1001"/>
      <c r="AHI38" s="1001"/>
      <c r="AHJ38" s="1001"/>
      <c r="AHK38" s="1001"/>
      <c r="AHL38" s="1001"/>
      <c r="AHM38" s="1001"/>
      <c r="AHN38" s="1001"/>
      <c r="AHO38" s="1001"/>
      <c r="AHP38" s="1001"/>
      <c r="AHQ38" s="1001"/>
      <c r="AHR38" s="1001"/>
      <c r="AHS38" s="1001"/>
      <c r="AHT38" s="1001"/>
      <c r="AHU38" s="1001"/>
      <c r="AHV38" s="1001"/>
      <c r="AHW38" s="1001"/>
      <c r="AHX38" s="1001"/>
      <c r="AHY38" s="1001"/>
      <c r="AHZ38" s="1001"/>
      <c r="AIA38" s="1001"/>
      <c r="AIB38" s="1001"/>
      <c r="AIC38" s="1001"/>
      <c r="AID38" s="1001"/>
      <c r="AIE38" s="1001"/>
      <c r="AIF38" s="1001"/>
      <c r="AIG38" s="1001"/>
      <c r="AIH38" s="1001"/>
      <c r="AII38" s="1001"/>
      <c r="AIJ38" s="1001"/>
      <c r="AIK38" s="1001"/>
      <c r="AIL38" s="1001"/>
      <c r="AIM38" s="1001"/>
      <c r="AIN38" s="1001"/>
      <c r="AIO38" s="1001"/>
      <c r="AIP38" s="1001"/>
      <c r="AIQ38" s="1001"/>
      <c r="AIR38" s="1001"/>
      <c r="AIS38" s="1001"/>
      <c r="AIT38" s="1001"/>
      <c r="AIU38" s="1001"/>
      <c r="AIV38" s="1001"/>
      <c r="AIW38" s="1001"/>
      <c r="AIX38" s="1001"/>
      <c r="AIY38" s="1001"/>
      <c r="AIZ38" s="1001"/>
      <c r="AJA38" s="1001"/>
      <c r="AJB38" s="1001"/>
      <c r="AJC38" s="1001"/>
      <c r="AJD38" s="1001"/>
      <c r="AJE38" s="1001"/>
      <c r="AJF38" s="1001"/>
      <c r="AJG38" s="1001"/>
      <c r="AJH38" s="1001"/>
      <c r="AJI38" s="1001"/>
      <c r="AJJ38" s="1001"/>
      <c r="AJK38" s="1001"/>
      <c r="AJL38" s="1001"/>
      <c r="AJM38" s="1001"/>
      <c r="AJN38" s="1001"/>
      <c r="AJO38" s="1001"/>
      <c r="AJP38" s="1001"/>
      <c r="AJQ38" s="1001"/>
      <c r="AJR38" s="1001"/>
      <c r="AJS38" s="1001"/>
      <c r="AJT38" s="1001"/>
      <c r="AJU38" s="1001"/>
      <c r="AJV38" s="1001"/>
      <c r="AJW38" s="1001"/>
      <c r="AJX38" s="1001"/>
      <c r="AJY38" s="1001"/>
      <c r="AJZ38" s="1001"/>
      <c r="AKA38" s="1001"/>
      <c r="AKB38" s="1001"/>
      <c r="AKC38" s="1001"/>
      <c r="AKD38" s="1001"/>
      <c r="AKE38" s="1001"/>
      <c r="AKF38" s="1001"/>
      <c r="AKG38" s="1001"/>
      <c r="AKH38" s="1001"/>
      <c r="AKI38" s="1001"/>
      <c r="AKJ38" s="1001"/>
      <c r="AKK38" s="1001"/>
      <c r="AKL38" s="1001"/>
      <c r="AKM38" s="1001"/>
      <c r="AKN38" s="1001"/>
      <c r="AKO38" s="1001"/>
      <c r="AKP38" s="1001"/>
      <c r="AKQ38" s="1001"/>
      <c r="AKR38" s="1001"/>
      <c r="AKS38" s="1001"/>
      <c r="AKT38" s="1001"/>
      <c r="AKU38" s="1001"/>
      <c r="AKV38" s="1001"/>
      <c r="AKW38" s="1001"/>
      <c r="AKX38" s="1001"/>
      <c r="AKY38" s="1001"/>
      <c r="AKZ38" s="1001"/>
      <c r="ALA38" s="1001"/>
      <c r="ALB38" s="1001"/>
      <c r="ALC38" s="1001"/>
      <c r="ALD38" s="1001"/>
      <c r="ALE38" s="1001"/>
      <c r="ALF38" s="1001"/>
      <c r="ALG38" s="1001"/>
      <c r="ALH38" s="1001"/>
      <c r="ALI38" s="1001"/>
      <c r="ALJ38" s="1001"/>
      <c r="ALK38" s="1001"/>
      <c r="ALL38" s="1001"/>
      <c r="ALM38" s="1001"/>
      <c r="ALN38" s="1001"/>
      <c r="ALO38" s="1001"/>
      <c r="ALP38" s="1001"/>
      <c r="ALQ38" s="1001"/>
      <c r="ALR38" s="1001"/>
      <c r="ALS38" s="1001"/>
      <c r="ALT38" s="1001"/>
      <c r="ALU38" s="1001"/>
      <c r="ALV38" s="1001"/>
      <c r="ALW38" s="1001"/>
      <c r="ALX38" s="1001"/>
      <c r="ALY38" s="1001"/>
      <c r="ALZ38" s="1001"/>
      <c r="AMA38" s="1001"/>
      <c r="AMB38" s="1001"/>
      <c r="AMC38" s="1001"/>
      <c r="AMD38" s="1001"/>
      <c r="AME38" s="1001"/>
      <c r="AMF38" s="1001"/>
      <c r="AMG38" s="1001"/>
      <c r="AMH38" s="1001"/>
      <c r="AMI38" s="1001"/>
      <c r="AMJ38" s="1001"/>
      <c r="AMK38" s="1001"/>
      <c r="AML38" s="1001"/>
      <c r="AMM38" s="1001"/>
      <c r="AMN38" s="1001"/>
      <c r="AMO38" s="1001"/>
      <c r="AMP38" s="1001"/>
      <c r="AMQ38" s="1001"/>
      <c r="AMR38" s="1001"/>
      <c r="AMS38" s="1001"/>
      <c r="AMT38" s="1001"/>
      <c r="AMU38" s="1001"/>
      <c r="AMV38" s="1001"/>
      <c r="AMW38" s="1001"/>
      <c r="AMX38" s="1001"/>
      <c r="AMY38" s="1001"/>
      <c r="AMZ38" s="1001"/>
      <c r="ANA38" s="1001"/>
      <c r="ANB38" s="1001"/>
      <c r="ANC38" s="1001"/>
      <c r="AND38" s="1001"/>
      <c r="ANE38" s="1001"/>
      <c r="ANF38" s="1001"/>
      <c r="ANG38" s="1001"/>
      <c r="ANH38" s="1001"/>
      <c r="ANI38" s="1001"/>
      <c r="ANJ38" s="1001"/>
      <c r="ANK38" s="1001"/>
      <c r="ANL38" s="1001"/>
      <c r="ANM38" s="1001"/>
      <c r="ANN38" s="1001"/>
      <c r="ANO38" s="1001"/>
      <c r="ANP38" s="1001"/>
      <c r="ANQ38" s="1001"/>
      <c r="ANR38" s="1001"/>
      <c r="ANS38" s="1001"/>
      <c r="ANT38" s="1001"/>
      <c r="ANU38" s="1001"/>
      <c r="ANV38" s="1001"/>
      <c r="ANW38" s="1001"/>
      <c r="ANX38" s="1001"/>
      <c r="ANY38" s="1001"/>
      <c r="ANZ38" s="1001"/>
      <c r="AOA38" s="1001"/>
      <c r="AOB38" s="1001"/>
      <c r="AOC38" s="1001"/>
      <c r="AOD38" s="1001"/>
      <c r="AOE38" s="1001"/>
      <c r="AOF38" s="1001"/>
      <c r="AOG38" s="1001"/>
      <c r="AOH38" s="1001"/>
      <c r="AOI38" s="1001"/>
      <c r="AOJ38" s="1001"/>
      <c r="AOK38" s="1001"/>
      <c r="AOL38" s="1001"/>
      <c r="AOM38" s="1001"/>
      <c r="AON38" s="1001"/>
      <c r="AOO38" s="1001"/>
      <c r="AOP38" s="1001"/>
      <c r="AOQ38" s="1001"/>
      <c r="AOR38" s="1001"/>
      <c r="AOS38" s="1001"/>
      <c r="AOT38" s="1001"/>
      <c r="AOU38" s="1001"/>
      <c r="AOV38" s="1001"/>
      <c r="AOW38" s="1001"/>
      <c r="AOX38" s="1001"/>
      <c r="AOY38" s="1001"/>
      <c r="AOZ38" s="1001"/>
      <c r="APA38" s="1001"/>
      <c r="APB38" s="1001"/>
      <c r="APC38" s="1001"/>
      <c r="APD38" s="1001"/>
      <c r="APE38" s="1001"/>
      <c r="APF38" s="1001"/>
      <c r="APG38" s="1001"/>
      <c r="APH38" s="1001"/>
      <c r="API38" s="1001"/>
      <c r="APJ38" s="1001"/>
      <c r="APK38" s="1001"/>
      <c r="APL38" s="1001"/>
      <c r="APM38" s="1001"/>
      <c r="APN38" s="1001"/>
      <c r="APO38" s="1001"/>
      <c r="APP38" s="1001"/>
      <c r="APQ38" s="1001"/>
      <c r="APR38" s="1001"/>
      <c r="APS38" s="1001"/>
      <c r="APT38" s="1001"/>
      <c r="APU38" s="1001"/>
      <c r="APV38" s="1001"/>
      <c r="APW38" s="1001"/>
      <c r="APX38" s="1001"/>
      <c r="APY38" s="1001"/>
      <c r="APZ38" s="1001"/>
      <c r="AQA38" s="1001"/>
      <c r="AQB38" s="1001"/>
      <c r="AQC38" s="1001"/>
      <c r="AQD38" s="1001"/>
      <c r="AQE38" s="1001"/>
      <c r="AQF38" s="1001"/>
      <c r="AQG38" s="1001"/>
      <c r="AQH38" s="1001"/>
      <c r="AQI38" s="1001"/>
      <c r="AQJ38" s="1001"/>
      <c r="AQK38" s="1001"/>
      <c r="AQL38" s="1001"/>
      <c r="AQM38" s="1001"/>
      <c r="AQN38" s="1001"/>
      <c r="AQO38" s="1001"/>
      <c r="AQP38" s="1001"/>
      <c r="AQQ38" s="1001"/>
      <c r="AQR38" s="1001"/>
      <c r="AQS38" s="1001"/>
      <c r="AQT38" s="1001"/>
      <c r="AQU38" s="1001"/>
      <c r="AQV38" s="1001"/>
      <c r="AQW38" s="1001"/>
      <c r="AQX38" s="1001"/>
      <c r="AQY38" s="1001"/>
      <c r="AQZ38" s="1001"/>
      <c r="ARA38" s="1001"/>
      <c r="ARB38" s="1001"/>
      <c r="ARC38" s="1001"/>
      <c r="ARD38" s="1001"/>
      <c r="ARE38" s="1001"/>
      <c r="ARF38" s="1001"/>
      <c r="ARG38" s="1001"/>
      <c r="ARH38" s="1001"/>
      <c r="ARI38" s="1001"/>
      <c r="ARJ38" s="1001"/>
      <c r="ARK38" s="1001"/>
      <c r="ARL38" s="1001"/>
      <c r="ARM38" s="1001"/>
      <c r="ARN38" s="1001"/>
      <c r="ARO38" s="1001"/>
      <c r="ARP38" s="1001"/>
      <c r="ARQ38" s="1001"/>
      <c r="ARR38" s="1001"/>
      <c r="ARS38" s="1001"/>
      <c r="ART38" s="1001"/>
      <c r="ARU38" s="1001"/>
      <c r="ARV38" s="1001"/>
      <c r="ARW38" s="1001"/>
      <c r="ARX38" s="1001"/>
      <c r="ARY38" s="1001"/>
      <c r="ARZ38" s="1001"/>
      <c r="ASA38" s="1001"/>
      <c r="ASB38" s="1001"/>
      <c r="ASC38" s="1001"/>
      <c r="ASD38" s="1001"/>
      <c r="ASE38" s="1001"/>
      <c r="ASF38" s="1001"/>
      <c r="ASG38" s="1001"/>
      <c r="ASH38" s="1001"/>
      <c r="ASI38" s="1001"/>
      <c r="ASJ38" s="1001"/>
      <c r="ASK38" s="1001"/>
      <c r="ASL38" s="1001"/>
      <c r="ASM38" s="1001"/>
      <c r="ASN38" s="1001"/>
      <c r="ASO38" s="1001"/>
      <c r="ASP38" s="1001"/>
      <c r="ASQ38" s="1001"/>
      <c r="ASR38" s="1001"/>
      <c r="ASS38" s="1001"/>
      <c r="AST38" s="1001"/>
      <c r="ASU38" s="1001"/>
      <c r="ASV38" s="1001"/>
      <c r="ASW38" s="1001"/>
      <c r="ASX38" s="1001"/>
      <c r="ASY38" s="1001"/>
      <c r="ASZ38" s="1001"/>
      <c r="ATA38" s="1001"/>
      <c r="ATB38" s="1001"/>
      <c r="ATC38" s="1001"/>
      <c r="ATD38" s="1001"/>
      <c r="ATE38" s="1001"/>
      <c r="ATF38" s="1001"/>
      <c r="ATG38" s="1001"/>
      <c r="ATH38" s="1001"/>
      <c r="ATI38" s="1001"/>
      <c r="ATJ38" s="1001"/>
      <c r="ATK38" s="1001"/>
      <c r="ATL38" s="1001"/>
      <c r="ATM38" s="1001"/>
      <c r="ATN38" s="1001"/>
      <c r="ATO38" s="1001"/>
      <c r="ATP38" s="1001"/>
      <c r="ATQ38" s="1001"/>
      <c r="ATR38" s="1001"/>
      <c r="ATS38" s="1001"/>
      <c r="ATT38" s="1001"/>
      <c r="ATU38" s="1001"/>
      <c r="ATV38" s="1001"/>
      <c r="ATW38" s="1001"/>
      <c r="ATX38" s="1001"/>
      <c r="ATY38" s="1001"/>
      <c r="ATZ38" s="1001"/>
      <c r="AUA38" s="1001"/>
      <c r="AUB38" s="1001"/>
      <c r="AUC38" s="1001"/>
      <c r="AUD38" s="1001"/>
      <c r="AUE38" s="1001"/>
      <c r="AUF38" s="1001"/>
      <c r="AUG38" s="1001"/>
      <c r="AUH38" s="1001"/>
      <c r="AUI38" s="1001"/>
      <c r="AUJ38" s="1001"/>
      <c r="AUK38" s="1001"/>
      <c r="AUL38" s="1001"/>
      <c r="AUM38" s="1001"/>
      <c r="AUN38" s="1001"/>
      <c r="AUO38" s="1001"/>
      <c r="AUP38" s="1001"/>
      <c r="AUQ38" s="1001"/>
      <c r="AUR38" s="1001"/>
      <c r="AUS38" s="1001"/>
      <c r="AUT38" s="1001"/>
      <c r="AUU38" s="1001"/>
      <c r="AUV38" s="1001"/>
      <c r="AUW38" s="1001"/>
      <c r="AUX38" s="1001"/>
      <c r="AUY38" s="1001"/>
      <c r="AUZ38" s="1001"/>
      <c r="AVA38" s="1001"/>
      <c r="AVB38" s="1001"/>
      <c r="AVC38" s="1001"/>
      <c r="AVD38" s="1001"/>
      <c r="AVE38" s="1001"/>
      <c r="AVF38" s="1001"/>
      <c r="AVG38" s="1001"/>
      <c r="AVH38" s="1001"/>
      <c r="AVI38" s="1001"/>
      <c r="AVJ38" s="1001"/>
      <c r="AVK38" s="1001"/>
      <c r="AVL38" s="1001"/>
      <c r="AVM38" s="1001"/>
      <c r="AVN38" s="1001"/>
      <c r="AVO38" s="1001"/>
      <c r="AVP38" s="1001"/>
      <c r="AVQ38" s="1001"/>
      <c r="AVR38" s="1001"/>
      <c r="AVS38" s="1001"/>
      <c r="AVT38" s="1001"/>
      <c r="AVU38" s="1001"/>
      <c r="AVV38" s="1001"/>
      <c r="AVW38" s="1001"/>
      <c r="AVX38" s="1001"/>
      <c r="AVY38" s="1001"/>
      <c r="AVZ38" s="1001"/>
      <c r="AWA38" s="1001"/>
      <c r="AWB38" s="1001"/>
      <c r="AWC38" s="1001"/>
      <c r="AWD38" s="1001"/>
      <c r="AWE38" s="1001"/>
      <c r="AWF38" s="1001"/>
      <c r="AWG38" s="1001"/>
      <c r="AWH38" s="1001"/>
      <c r="AWI38" s="1001"/>
      <c r="AWJ38" s="1001"/>
      <c r="AWK38" s="1001"/>
      <c r="AWL38" s="1001"/>
      <c r="AWM38" s="1001"/>
      <c r="AWN38" s="1001"/>
      <c r="AWO38" s="1001"/>
      <c r="AWP38" s="1001"/>
      <c r="AWQ38" s="1001"/>
      <c r="AWR38" s="1001"/>
      <c r="AWS38" s="1001"/>
      <c r="AWT38" s="1001"/>
      <c r="AWU38" s="1001"/>
      <c r="AWV38" s="1001"/>
      <c r="AWW38" s="1001"/>
      <c r="AWX38" s="1001"/>
      <c r="AWY38" s="1001"/>
      <c r="AWZ38" s="1001"/>
      <c r="AXA38" s="1001"/>
      <c r="AXB38" s="1001"/>
      <c r="AXC38" s="1001"/>
      <c r="AXD38" s="1001"/>
      <c r="AXE38" s="1001"/>
      <c r="AXF38" s="1001"/>
      <c r="AXG38" s="1001"/>
      <c r="AXH38" s="1001"/>
      <c r="AXI38" s="1001"/>
      <c r="AXJ38" s="1001"/>
      <c r="AXK38" s="1001"/>
      <c r="AXL38" s="1001"/>
      <c r="AXM38" s="1001"/>
      <c r="AXN38" s="1001"/>
      <c r="AXO38" s="1001"/>
      <c r="AXP38" s="1001"/>
      <c r="AXQ38" s="1001"/>
      <c r="AXR38" s="1001"/>
      <c r="AXS38" s="1001"/>
      <c r="AXT38" s="1001"/>
      <c r="AXU38" s="1001"/>
      <c r="AXV38" s="1001"/>
      <c r="AXW38" s="1001"/>
      <c r="AXX38" s="1001"/>
      <c r="AXY38" s="1001"/>
      <c r="AXZ38" s="1001"/>
      <c r="AYA38" s="1001"/>
      <c r="AYB38" s="1001"/>
      <c r="AYC38" s="1001"/>
      <c r="AYD38" s="1001"/>
      <c r="AYE38" s="1001"/>
      <c r="AYF38" s="1001"/>
      <c r="AYG38" s="1001"/>
      <c r="AYH38" s="1001"/>
      <c r="AYI38" s="1001"/>
      <c r="AYJ38" s="1001"/>
      <c r="AYK38" s="1001"/>
      <c r="AYL38" s="1001"/>
      <c r="AYM38" s="1001"/>
      <c r="AYN38" s="1001"/>
      <c r="AYO38" s="1001"/>
      <c r="AYP38" s="1001"/>
      <c r="AYQ38" s="1001"/>
      <c r="AYR38" s="1001"/>
      <c r="AYS38" s="1001"/>
      <c r="AYT38" s="1001"/>
      <c r="AYU38" s="1001"/>
      <c r="AYV38" s="1001"/>
      <c r="AYW38" s="1001"/>
      <c r="AYX38" s="1001"/>
      <c r="AYY38" s="1001"/>
      <c r="AYZ38" s="1001"/>
      <c r="AZA38" s="1001"/>
      <c r="AZB38" s="1001"/>
      <c r="AZC38" s="1001"/>
      <c r="AZD38" s="1001"/>
      <c r="AZE38" s="1001"/>
      <c r="AZF38" s="1001"/>
      <c r="AZG38" s="1001"/>
      <c r="AZH38" s="1001"/>
      <c r="AZI38" s="1001"/>
      <c r="AZJ38" s="1001"/>
      <c r="AZK38" s="1001"/>
      <c r="AZL38" s="1001"/>
      <c r="AZM38" s="1001"/>
      <c r="AZN38" s="1001"/>
      <c r="AZO38" s="1001"/>
      <c r="AZP38" s="1001"/>
      <c r="AZQ38" s="1001"/>
      <c r="AZR38" s="1001"/>
      <c r="AZS38" s="1001"/>
      <c r="AZT38" s="1001"/>
      <c r="AZU38" s="1001"/>
      <c r="AZV38" s="1001"/>
      <c r="AZW38" s="1001"/>
      <c r="AZX38" s="1001"/>
      <c r="AZY38" s="1001"/>
      <c r="AZZ38" s="1001"/>
      <c r="BAA38" s="1001"/>
      <c r="BAB38" s="1001"/>
      <c r="BAC38" s="1001"/>
      <c r="BAD38" s="1001"/>
      <c r="BAE38" s="1001"/>
      <c r="BAF38" s="1001"/>
      <c r="BAG38" s="1001"/>
      <c r="BAH38" s="1001"/>
      <c r="BAI38" s="1001"/>
      <c r="BAJ38" s="1001"/>
      <c r="BAK38" s="1001"/>
      <c r="BAL38" s="1001"/>
      <c r="BAM38" s="1001"/>
      <c r="BAN38" s="1001"/>
      <c r="BAO38" s="1001"/>
      <c r="BAP38" s="1001"/>
      <c r="BAQ38" s="1001"/>
      <c r="BAR38" s="1001"/>
      <c r="BAS38" s="1001"/>
      <c r="BAT38" s="1001"/>
      <c r="BAU38" s="1001"/>
      <c r="BAV38" s="1001"/>
      <c r="BAW38" s="1001"/>
      <c r="BAX38" s="1001"/>
      <c r="BAY38" s="1001"/>
      <c r="BAZ38" s="1001"/>
      <c r="BBA38" s="1001"/>
      <c r="BBB38" s="1001"/>
      <c r="BBC38" s="1001"/>
      <c r="BBD38" s="1001"/>
      <c r="BBE38" s="1001"/>
      <c r="BBF38" s="1001"/>
      <c r="BBG38" s="1001"/>
      <c r="BBH38" s="1001"/>
      <c r="BBI38" s="1001"/>
      <c r="BBJ38" s="1001"/>
      <c r="BBK38" s="1001"/>
      <c r="BBL38" s="1001"/>
      <c r="BBM38" s="1001"/>
      <c r="BBN38" s="1001"/>
      <c r="BBO38" s="1001"/>
      <c r="BBP38" s="1001"/>
      <c r="BBQ38" s="1001"/>
      <c r="BBR38" s="1001"/>
      <c r="BBS38" s="1001"/>
      <c r="BBT38" s="1001"/>
      <c r="BBU38" s="1001"/>
      <c r="BBV38" s="1001"/>
      <c r="BBW38" s="1001"/>
      <c r="BBX38" s="1001"/>
      <c r="BBY38" s="1001"/>
      <c r="BBZ38" s="1001"/>
      <c r="BCA38" s="1001"/>
      <c r="BCB38" s="1001"/>
      <c r="BCC38" s="1001"/>
      <c r="BCD38" s="1001"/>
      <c r="BCE38" s="1001"/>
      <c r="BCF38" s="1001"/>
      <c r="BCG38" s="1001"/>
      <c r="BCH38" s="1001"/>
      <c r="BCI38" s="1001"/>
      <c r="BCJ38" s="1001"/>
      <c r="BCK38" s="1001"/>
      <c r="BCL38" s="1001"/>
      <c r="BCM38" s="1001"/>
      <c r="BCN38" s="1001"/>
      <c r="BCO38" s="1001"/>
      <c r="BCP38" s="1001"/>
      <c r="BCQ38" s="1001"/>
      <c r="BCR38" s="1001"/>
      <c r="BCS38" s="1001"/>
      <c r="BCT38" s="1001"/>
      <c r="BCU38" s="1001"/>
      <c r="BCV38" s="1001"/>
      <c r="BCW38" s="1001"/>
      <c r="BCX38" s="1001"/>
      <c r="BCY38" s="1001"/>
      <c r="BCZ38" s="1001"/>
      <c r="BDA38" s="1001"/>
      <c r="BDB38" s="1001"/>
      <c r="BDC38" s="1001"/>
      <c r="BDD38" s="1001"/>
      <c r="BDE38" s="1001"/>
      <c r="BDF38" s="1001"/>
      <c r="BDG38" s="1001"/>
      <c r="BDH38" s="1001"/>
      <c r="BDI38" s="1001"/>
      <c r="BDJ38" s="1001"/>
      <c r="BDK38" s="1001"/>
      <c r="BDL38" s="1001"/>
      <c r="BDM38" s="1001"/>
      <c r="BDN38" s="1001"/>
      <c r="BDO38" s="1001"/>
      <c r="BDP38" s="1001"/>
      <c r="BDQ38" s="1001"/>
      <c r="BDR38" s="1001"/>
      <c r="BDS38" s="1001"/>
      <c r="BDT38" s="1001"/>
      <c r="BDU38" s="1001"/>
      <c r="BDV38" s="1001"/>
      <c r="BDW38" s="1001"/>
      <c r="BDX38" s="1001"/>
      <c r="BDY38" s="1001"/>
      <c r="BDZ38" s="1001"/>
      <c r="BEA38" s="1001"/>
      <c r="BEB38" s="1001"/>
      <c r="BEC38" s="1001"/>
      <c r="BED38" s="1001"/>
      <c r="BEE38" s="1001"/>
      <c r="BEF38" s="1001"/>
      <c r="BEG38" s="1001"/>
      <c r="BEH38" s="1001"/>
      <c r="BEI38" s="1001"/>
      <c r="BEJ38" s="1001"/>
      <c r="BEK38" s="1001"/>
      <c r="BEL38" s="1001"/>
      <c r="BEM38" s="1001"/>
      <c r="BEN38" s="1001"/>
      <c r="BEO38" s="1001"/>
      <c r="BEP38" s="1001"/>
      <c r="BEQ38" s="1001"/>
      <c r="BER38" s="1001"/>
      <c r="BES38" s="1001"/>
      <c r="BET38" s="1001"/>
      <c r="BEU38" s="1001"/>
      <c r="BEV38" s="1001"/>
      <c r="BEW38" s="1001"/>
      <c r="BEX38" s="1001"/>
      <c r="BEY38" s="1001"/>
      <c r="BEZ38" s="1001"/>
      <c r="BFA38" s="1001"/>
      <c r="BFB38" s="1001"/>
      <c r="BFC38" s="1001"/>
      <c r="BFD38" s="1001"/>
      <c r="BFE38" s="1001"/>
      <c r="BFF38" s="1001"/>
      <c r="BFG38" s="1001"/>
      <c r="BFH38" s="1001"/>
      <c r="BFI38" s="1001"/>
      <c r="BFJ38" s="1001"/>
      <c r="BFK38" s="1001"/>
      <c r="BFL38" s="1001"/>
      <c r="BFM38" s="1001"/>
      <c r="BFN38" s="1001"/>
      <c r="BFO38" s="1001"/>
      <c r="BFP38" s="1001"/>
      <c r="BFQ38" s="1001"/>
      <c r="BFR38" s="1001"/>
      <c r="BFS38" s="1001"/>
      <c r="BFT38" s="1001"/>
      <c r="BFU38" s="1001"/>
      <c r="BFV38" s="1001"/>
      <c r="BFW38" s="1001"/>
      <c r="BFX38" s="1001"/>
      <c r="BFY38" s="1001"/>
      <c r="BFZ38" s="1001"/>
      <c r="BGA38" s="1001"/>
      <c r="BGB38" s="1001"/>
      <c r="BGC38" s="1001"/>
      <c r="BGD38" s="1001"/>
      <c r="BGE38" s="1001"/>
      <c r="BGF38" s="1001"/>
      <c r="BGG38" s="1001"/>
      <c r="BGH38" s="1001"/>
      <c r="BGI38" s="1001"/>
      <c r="BGJ38" s="1001"/>
      <c r="BGK38" s="1001"/>
      <c r="BGL38" s="1001"/>
      <c r="BGM38" s="1001"/>
      <c r="BGN38" s="1001"/>
      <c r="BGO38" s="1001"/>
      <c r="BGP38" s="1001"/>
      <c r="BGQ38" s="1001"/>
      <c r="BGR38" s="1001"/>
      <c r="BGS38" s="1001"/>
      <c r="BGT38" s="1001"/>
      <c r="BGU38" s="1001"/>
      <c r="BGV38" s="1001"/>
      <c r="BGW38" s="1001"/>
      <c r="BGX38" s="1001"/>
      <c r="BGY38" s="1001"/>
      <c r="BGZ38" s="1001"/>
      <c r="BHA38" s="1001"/>
      <c r="BHB38" s="1001"/>
      <c r="BHC38" s="1001"/>
      <c r="BHD38" s="1001"/>
      <c r="BHE38" s="1001"/>
      <c r="BHF38" s="1001"/>
      <c r="BHG38" s="1001"/>
      <c r="BHH38" s="1001"/>
      <c r="BHI38" s="1001"/>
      <c r="BHJ38" s="1001"/>
      <c r="BHK38" s="1001"/>
      <c r="BHL38" s="1001"/>
      <c r="BHM38" s="1001"/>
      <c r="BHN38" s="1001"/>
      <c r="BHO38" s="1001"/>
      <c r="BHP38" s="1001"/>
      <c r="BHQ38" s="1001"/>
      <c r="BHR38" s="1001"/>
      <c r="BHS38" s="1001"/>
      <c r="BHT38" s="1001"/>
      <c r="BHU38" s="1001"/>
      <c r="BHV38" s="1001"/>
      <c r="BHW38" s="1001"/>
      <c r="BHX38" s="1001"/>
      <c r="BHY38" s="1001"/>
      <c r="BHZ38" s="1001"/>
      <c r="BIA38" s="1001"/>
      <c r="BIB38" s="1001"/>
      <c r="BIC38" s="1001"/>
      <c r="BID38" s="1001"/>
      <c r="BIE38" s="1001"/>
      <c r="BIF38" s="1001"/>
      <c r="BIG38" s="1001"/>
      <c r="BIH38" s="1001"/>
      <c r="BII38" s="1001"/>
      <c r="BIJ38" s="1001"/>
      <c r="BIK38" s="1001"/>
      <c r="BIL38" s="1001"/>
      <c r="BIM38" s="1001"/>
      <c r="BIN38" s="1001"/>
      <c r="BIO38" s="1001"/>
      <c r="BIP38" s="1001"/>
      <c r="BIQ38" s="1001"/>
      <c r="BIR38" s="1001"/>
      <c r="BIS38" s="1001"/>
      <c r="BIT38" s="1001"/>
      <c r="BIU38" s="1001"/>
      <c r="BIV38" s="1001"/>
      <c r="BIW38" s="1001"/>
      <c r="BIX38" s="1001"/>
      <c r="BIY38" s="1001"/>
      <c r="BIZ38" s="1001"/>
      <c r="BJA38" s="1001"/>
      <c r="BJB38" s="1001"/>
      <c r="BJC38" s="1001"/>
      <c r="BJD38" s="1001"/>
      <c r="BJE38" s="1001"/>
      <c r="BJF38" s="1001"/>
      <c r="BJG38" s="1001"/>
      <c r="BJH38" s="1001"/>
      <c r="BJI38" s="1001"/>
      <c r="BJJ38" s="1001"/>
      <c r="BJK38" s="1001"/>
      <c r="BJL38" s="1001"/>
      <c r="BJM38" s="1001"/>
      <c r="BJN38" s="1001"/>
      <c r="BJO38" s="1001"/>
      <c r="BJP38" s="1001"/>
      <c r="BJQ38" s="1001"/>
      <c r="BJR38" s="1001"/>
      <c r="BJS38" s="1001"/>
      <c r="BJT38" s="1001"/>
      <c r="BJU38" s="1001"/>
      <c r="BJV38" s="1001"/>
      <c r="BJW38" s="1001"/>
      <c r="BJX38" s="1001"/>
      <c r="BJY38" s="1001"/>
      <c r="BJZ38" s="1001"/>
      <c r="BKA38" s="1001"/>
      <c r="BKB38" s="1001"/>
      <c r="BKC38" s="1001"/>
      <c r="BKD38" s="1001"/>
      <c r="BKE38" s="1001"/>
      <c r="BKF38" s="1001"/>
      <c r="BKG38" s="1001"/>
      <c r="BKH38" s="1001"/>
      <c r="BKI38" s="1001"/>
      <c r="BKJ38" s="1001"/>
      <c r="BKK38" s="1001"/>
      <c r="BKL38" s="1001"/>
      <c r="BKM38" s="1001"/>
      <c r="BKN38" s="1001"/>
      <c r="BKO38" s="1001"/>
      <c r="BKP38" s="1001"/>
      <c r="BKQ38" s="1001"/>
      <c r="BKR38" s="1001"/>
      <c r="BKS38" s="1001"/>
      <c r="BKT38" s="1001"/>
      <c r="BKU38" s="1001"/>
      <c r="BKV38" s="1001"/>
      <c r="BKW38" s="1001"/>
      <c r="BKX38" s="1001"/>
      <c r="BKY38" s="1001"/>
      <c r="BKZ38" s="1001"/>
      <c r="BLA38" s="1001"/>
      <c r="BLB38" s="1001"/>
      <c r="BLC38" s="1001"/>
      <c r="BLD38" s="1001"/>
      <c r="BLE38" s="1001"/>
      <c r="BLF38" s="1001"/>
      <c r="BLG38" s="1001"/>
      <c r="BLH38" s="1001"/>
      <c r="BLI38" s="1001"/>
      <c r="BLJ38" s="1001"/>
      <c r="BLK38" s="1001"/>
      <c r="BLL38" s="1001"/>
      <c r="BLM38" s="1001"/>
      <c r="BLN38" s="1001"/>
      <c r="BLO38" s="1001"/>
      <c r="BLP38" s="1001"/>
      <c r="BLQ38" s="1001"/>
      <c r="BLR38" s="1001"/>
      <c r="BLS38" s="1001"/>
      <c r="BLT38" s="1001"/>
      <c r="BLU38" s="1001"/>
      <c r="BLV38" s="1001"/>
      <c r="BLW38" s="1001"/>
      <c r="BLX38" s="1001"/>
      <c r="BLY38" s="1001"/>
      <c r="BLZ38" s="1001"/>
      <c r="BMA38" s="1001"/>
      <c r="BMB38" s="1001"/>
      <c r="BMC38" s="1001"/>
      <c r="BMD38" s="1001"/>
      <c r="BME38" s="1001"/>
      <c r="BMF38" s="1001"/>
      <c r="BMG38" s="1001"/>
      <c r="BMH38" s="1001"/>
      <c r="BMI38" s="1001"/>
      <c r="BMJ38" s="1001"/>
      <c r="BMK38" s="1001"/>
      <c r="BML38" s="1001"/>
      <c r="BMM38" s="1001"/>
      <c r="BMN38" s="1001"/>
      <c r="BMO38" s="1001"/>
      <c r="BMP38" s="1001"/>
      <c r="BMQ38" s="1001"/>
      <c r="BMR38" s="1001"/>
      <c r="BMS38" s="1001"/>
      <c r="BMT38" s="1001"/>
      <c r="BMU38" s="1001"/>
      <c r="BMV38" s="1001"/>
      <c r="BMW38" s="1001"/>
      <c r="BMX38" s="1001"/>
      <c r="BMY38" s="1001"/>
      <c r="BMZ38" s="1001"/>
      <c r="BNA38" s="1001"/>
      <c r="BNB38" s="1001"/>
      <c r="BNC38" s="1001"/>
      <c r="BND38" s="1001"/>
      <c r="BNE38" s="1001"/>
      <c r="BNF38" s="1001"/>
      <c r="BNG38" s="1001"/>
      <c r="BNH38" s="1001"/>
      <c r="BNI38" s="1001"/>
      <c r="BNJ38" s="1001"/>
      <c r="BNK38" s="1001"/>
      <c r="BNL38" s="1001"/>
      <c r="BNM38" s="1001"/>
      <c r="BNN38" s="1001"/>
      <c r="BNO38" s="1001"/>
      <c r="BNP38" s="1001"/>
      <c r="BNQ38" s="1001"/>
      <c r="BNR38" s="1001"/>
      <c r="BNS38" s="1001"/>
      <c r="BNT38" s="1001"/>
      <c r="BNU38" s="1001"/>
      <c r="BNV38" s="1001"/>
      <c r="BNW38" s="1001"/>
      <c r="BNX38" s="1001"/>
      <c r="BNY38" s="1001"/>
      <c r="BNZ38" s="1001"/>
      <c r="BOA38" s="1001"/>
      <c r="BOB38" s="1001"/>
      <c r="BOC38" s="1001"/>
      <c r="BOD38" s="1001"/>
      <c r="BOE38" s="1001"/>
      <c r="BOF38" s="1001"/>
      <c r="BOG38" s="1001"/>
      <c r="BOH38" s="1001"/>
      <c r="BOI38" s="1001"/>
      <c r="BOJ38" s="1001"/>
      <c r="BOK38" s="1001"/>
      <c r="BOL38" s="1001"/>
      <c r="BOM38" s="1001"/>
      <c r="BON38" s="1001"/>
      <c r="BOO38" s="1001"/>
      <c r="BOP38" s="1001"/>
      <c r="BOQ38" s="1001"/>
      <c r="BOR38" s="1001"/>
      <c r="BOS38" s="1001"/>
      <c r="BOT38" s="1001"/>
      <c r="BOU38" s="1001"/>
      <c r="BOV38" s="1001"/>
      <c r="BOW38" s="1001"/>
      <c r="BOX38" s="1001"/>
      <c r="BOY38" s="1001"/>
      <c r="BOZ38" s="1001"/>
      <c r="BPA38" s="1001"/>
      <c r="BPB38" s="1001"/>
      <c r="BPC38" s="1001"/>
      <c r="BPD38" s="1001"/>
      <c r="BPE38" s="1001"/>
      <c r="BPF38" s="1001"/>
      <c r="BPG38" s="1001"/>
      <c r="BPH38" s="1001"/>
      <c r="BPI38" s="1001"/>
      <c r="BPJ38" s="1001"/>
      <c r="BPK38" s="1001"/>
      <c r="BPL38" s="1001"/>
      <c r="BPM38" s="1001"/>
      <c r="BPN38" s="1001"/>
      <c r="BPO38" s="1001"/>
      <c r="BPP38" s="1001"/>
      <c r="BPQ38" s="1001"/>
      <c r="BPR38" s="1001"/>
      <c r="BPS38" s="1001"/>
      <c r="BPT38" s="1001"/>
      <c r="BPU38" s="1001"/>
      <c r="BPV38" s="1001"/>
      <c r="BPW38" s="1001"/>
      <c r="BPX38" s="1001"/>
      <c r="BPY38" s="1001"/>
      <c r="BPZ38" s="1001"/>
      <c r="BQA38" s="1001"/>
      <c r="BQB38" s="1001"/>
      <c r="BQC38" s="1001"/>
      <c r="BQD38" s="1001"/>
      <c r="BQE38" s="1001"/>
      <c r="BQF38" s="1001"/>
      <c r="BQG38" s="1001"/>
      <c r="BQH38" s="1001"/>
      <c r="BQI38" s="1001"/>
      <c r="BQJ38" s="1001"/>
      <c r="BQK38" s="1001"/>
      <c r="BQL38" s="1001"/>
      <c r="BQM38" s="1001"/>
      <c r="BQN38" s="1001"/>
      <c r="BQO38" s="1001"/>
      <c r="BQP38" s="1001"/>
      <c r="BQQ38" s="1001"/>
      <c r="BQR38" s="1001"/>
      <c r="BQS38" s="1001"/>
      <c r="BQT38" s="1001"/>
      <c r="BQU38" s="1001"/>
      <c r="BQV38" s="1001"/>
      <c r="BQW38" s="1001"/>
      <c r="BQX38" s="1001"/>
      <c r="BQY38" s="1001"/>
      <c r="BQZ38" s="1001"/>
      <c r="BRA38" s="1001"/>
      <c r="BRB38" s="1001"/>
      <c r="BRC38" s="1001"/>
      <c r="BRD38" s="1001"/>
      <c r="BRE38" s="1001"/>
      <c r="BRF38" s="1001"/>
      <c r="BRG38" s="1001"/>
      <c r="BRH38" s="1001"/>
      <c r="BRI38" s="1001"/>
      <c r="BRJ38" s="1001"/>
      <c r="BRK38" s="1001"/>
      <c r="BRL38" s="1001"/>
      <c r="BRM38" s="1001"/>
      <c r="BRN38" s="1001"/>
      <c r="BRO38" s="1001"/>
      <c r="BRP38" s="1001"/>
      <c r="BRQ38" s="1001"/>
      <c r="BRR38" s="1001"/>
      <c r="BRS38" s="1001"/>
      <c r="BRT38" s="1001"/>
      <c r="BRU38" s="1001"/>
      <c r="BRV38" s="1001"/>
      <c r="BRW38" s="1001"/>
      <c r="BRX38" s="1001"/>
      <c r="BRY38" s="1001"/>
      <c r="BRZ38" s="1001"/>
      <c r="BSA38" s="1001"/>
      <c r="BSB38" s="1001"/>
      <c r="BSC38" s="1001"/>
      <c r="BSD38" s="1001"/>
      <c r="BSE38" s="1001"/>
      <c r="BSF38" s="1001"/>
      <c r="BSG38" s="1001"/>
      <c r="BSH38" s="1001"/>
      <c r="BSI38" s="1001"/>
      <c r="BSJ38" s="1001"/>
      <c r="BSK38" s="1001"/>
      <c r="BSL38" s="1001"/>
      <c r="BSM38" s="1001"/>
      <c r="BSN38" s="1001"/>
      <c r="BSO38" s="1001"/>
      <c r="BSP38" s="1001"/>
      <c r="BSQ38" s="1001"/>
      <c r="BSR38" s="1001"/>
      <c r="BSS38" s="1001"/>
      <c r="BST38" s="1001"/>
      <c r="BSU38" s="1001"/>
      <c r="BSV38" s="1001"/>
      <c r="BSW38" s="1001"/>
      <c r="BSX38" s="1001"/>
      <c r="BSY38" s="1001"/>
      <c r="BSZ38" s="1001"/>
      <c r="BTA38" s="1001"/>
      <c r="BTB38" s="1001"/>
      <c r="BTC38" s="1001"/>
      <c r="BTD38" s="1001"/>
      <c r="BTE38" s="1001"/>
      <c r="BTF38" s="1001"/>
      <c r="BTG38" s="1001"/>
      <c r="BTH38" s="1001"/>
      <c r="BTI38" s="1001"/>
      <c r="BTJ38" s="1001"/>
      <c r="BTK38" s="1001"/>
      <c r="BTL38" s="1001"/>
      <c r="BTM38" s="1001"/>
      <c r="BTN38" s="1001"/>
      <c r="BTO38" s="1001"/>
      <c r="BTP38" s="1001"/>
      <c r="BTQ38" s="1001"/>
      <c r="BTR38" s="1001"/>
      <c r="BTS38" s="1001"/>
      <c r="BTT38" s="1001"/>
      <c r="BTU38" s="1001"/>
      <c r="BTV38" s="1001"/>
      <c r="BTW38" s="1001"/>
      <c r="BTX38" s="1001"/>
      <c r="BTY38" s="1001"/>
      <c r="BTZ38" s="1001"/>
      <c r="BUA38" s="1001"/>
      <c r="BUB38" s="1001"/>
      <c r="BUC38" s="1001"/>
      <c r="BUD38" s="1001"/>
      <c r="BUE38" s="1001"/>
      <c r="BUF38" s="1001"/>
      <c r="BUG38" s="1001"/>
      <c r="BUH38" s="1001"/>
      <c r="BUI38" s="1001"/>
      <c r="BUJ38" s="1001"/>
      <c r="BUK38" s="1001"/>
      <c r="BUL38" s="1001"/>
      <c r="BUM38" s="1001"/>
      <c r="BUN38" s="1001"/>
      <c r="BUO38" s="1001"/>
      <c r="BUP38" s="1001"/>
      <c r="BUQ38" s="1001"/>
      <c r="BUR38" s="1001"/>
      <c r="BUS38" s="1001"/>
      <c r="BUT38" s="1001"/>
      <c r="BUU38" s="1001"/>
      <c r="BUV38" s="1001"/>
      <c r="BUW38" s="1001"/>
      <c r="BUX38" s="1001"/>
      <c r="BUY38" s="1001"/>
      <c r="BUZ38" s="1001"/>
      <c r="BVA38" s="1001"/>
      <c r="BVB38" s="1001"/>
      <c r="BVC38" s="1001"/>
      <c r="BVD38" s="1001"/>
      <c r="BVE38" s="1001"/>
      <c r="BVF38" s="1001"/>
      <c r="BVG38" s="1001"/>
      <c r="BVH38" s="1001"/>
      <c r="BVI38" s="1001"/>
      <c r="BVJ38" s="1001"/>
      <c r="BVK38" s="1001"/>
      <c r="BVL38" s="1001"/>
      <c r="BVM38" s="1001"/>
      <c r="BVN38" s="1001"/>
      <c r="BVO38" s="1001"/>
      <c r="BVP38" s="1001"/>
      <c r="BVQ38" s="1001"/>
      <c r="BVR38" s="1001"/>
      <c r="BVS38" s="1001"/>
      <c r="BVT38" s="1001"/>
      <c r="BVU38" s="1001"/>
      <c r="BVV38" s="1001"/>
      <c r="BVW38" s="1001"/>
      <c r="BVX38" s="1001"/>
      <c r="BVY38" s="1001"/>
      <c r="BVZ38" s="1001"/>
      <c r="BWA38" s="1001"/>
      <c r="BWB38" s="1001"/>
      <c r="BWC38" s="1001"/>
      <c r="BWD38" s="1001"/>
      <c r="BWE38" s="1001"/>
      <c r="BWF38" s="1001"/>
      <c r="BWG38" s="1001"/>
      <c r="BWH38" s="1001"/>
      <c r="BWI38" s="1001"/>
      <c r="BWJ38" s="1001"/>
      <c r="BWK38" s="1001"/>
      <c r="BWL38" s="1001"/>
      <c r="BWM38" s="1001"/>
      <c r="BWN38" s="1001"/>
      <c r="BWO38" s="1001"/>
      <c r="BWP38" s="1001"/>
      <c r="BWQ38" s="1001"/>
      <c r="BWR38" s="1001"/>
      <c r="BWS38" s="1001"/>
      <c r="BWT38" s="1001"/>
      <c r="BWU38" s="1001"/>
      <c r="BWV38" s="1001"/>
      <c r="BWW38" s="1001"/>
      <c r="BWX38" s="1001"/>
      <c r="BWY38" s="1001"/>
      <c r="BWZ38" s="1001"/>
      <c r="BXA38" s="1001"/>
      <c r="BXB38" s="1001"/>
      <c r="BXC38" s="1001"/>
      <c r="BXD38" s="1001"/>
      <c r="BXE38" s="1001"/>
      <c r="BXF38" s="1001"/>
      <c r="BXG38" s="1001"/>
      <c r="BXH38" s="1001"/>
      <c r="BXI38" s="1001"/>
      <c r="BXJ38" s="1001"/>
      <c r="BXK38" s="1001"/>
      <c r="BXL38" s="1001"/>
      <c r="BXM38" s="1001"/>
      <c r="BXN38" s="1001"/>
      <c r="BXO38" s="1001"/>
      <c r="BXP38" s="1001"/>
      <c r="BXQ38" s="1001"/>
      <c r="BXR38" s="1001"/>
      <c r="BXS38" s="1001"/>
      <c r="BXT38" s="1001"/>
      <c r="BXU38" s="1001"/>
      <c r="BXV38" s="1001"/>
      <c r="BXW38" s="1001"/>
      <c r="BXX38" s="1001"/>
      <c r="BXY38" s="1001"/>
      <c r="BXZ38" s="1001"/>
      <c r="BYA38" s="1001"/>
      <c r="BYB38" s="1001"/>
      <c r="BYC38" s="1001"/>
      <c r="BYD38" s="1001"/>
      <c r="BYE38" s="1001"/>
      <c r="BYF38" s="1001"/>
      <c r="BYG38" s="1001"/>
      <c r="BYH38" s="1001"/>
      <c r="BYI38" s="1001"/>
      <c r="BYJ38" s="1001"/>
      <c r="BYK38" s="1001"/>
      <c r="BYL38" s="1001"/>
      <c r="BYM38" s="1001"/>
      <c r="BYN38" s="1001"/>
      <c r="BYO38" s="1001"/>
      <c r="BYP38" s="1001"/>
      <c r="BYQ38" s="1001"/>
      <c r="BYR38" s="1001"/>
      <c r="BYS38" s="1001"/>
      <c r="BYT38" s="1001"/>
      <c r="BYU38" s="1001"/>
      <c r="BYV38" s="1001"/>
      <c r="BYW38" s="1001"/>
      <c r="BYX38" s="1001"/>
      <c r="BYY38" s="1001"/>
      <c r="BYZ38" s="1001"/>
      <c r="BZA38" s="1001"/>
      <c r="BZB38" s="1001"/>
      <c r="BZC38" s="1001"/>
      <c r="BZD38" s="1001"/>
      <c r="BZE38" s="1001"/>
      <c r="BZF38" s="1001"/>
      <c r="BZG38" s="1001"/>
      <c r="BZH38" s="1001"/>
      <c r="BZI38" s="1001"/>
      <c r="BZJ38" s="1001"/>
      <c r="BZK38" s="1001"/>
      <c r="BZL38" s="1001"/>
      <c r="BZM38" s="1001"/>
      <c r="BZN38" s="1001"/>
      <c r="BZO38" s="1001"/>
      <c r="BZP38" s="1001"/>
      <c r="BZQ38" s="1001"/>
      <c r="BZR38" s="1001"/>
      <c r="BZS38" s="1001"/>
      <c r="BZT38" s="1001"/>
      <c r="BZU38" s="1001"/>
      <c r="BZV38" s="1001"/>
      <c r="BZW38" s="1001"/>
      <c r="BZX38" s="1001"/>
      <c r="BZY38" s="1001"/>
      <c r="BZZ38" s="1001"/>
      <c r="CAA38" s="1001"/>
      <c r="CAB38" s="1001"/>
      <c r="CAC38" s="1001"/>
      <c r="CAD38" s="1001"/>
      <c r="CAE38" s="1001"/>
      <c r="CAF38" s="1001"/>
      <c r="CAG38" s="1001"/>
      <c r="CAH38" s="1001"/>
      <c r="CAI38" s="1001"/>
      <c r="CAJ38" s="1001"/>
      <c r="CAK38" s="1001"/>
      <c r="CAL38" s="1001"/>
      <c r="CAM38" s="1001"/>
      <c r="CAN38" s="1001"/>
      <c r="CAO38" s="1001"/>
      <c r="CAP38" s="1001"/>
      <c r="CAQ38" s="1001"/>
      <c r="CAR38" s="1001"/>
      <c r="CAS38" s="1001"/>
      <c r="CAT38" s="1001"/>
      <c r="CAU38" s="1001"/>
      <c r="CAV38" s="1001"/>
      <c r="CAW38" s="1001"/>
      <c r="CAX38" s="1001"/>
      <c r="CAY38" s="1001"/>
      <c r="CAZ38" s="1001"/>
      <c r="CBA38" s="1001"/>
      <c r="CBB38" s="1001"/>
      <c r="CBC38" s="1001"/>
      <c r="CBD38" s="1001"/>
      <c r="CBE38" s="1001"/>
      <c r="CBF38" s="1001"/>
      <c r="CBG38" s="1001"/>
      <c r="CBH38" s="1001"/>
      <c r="CBI38" s="1001"/>
      <c r="CBJ38" s="1001"/>
      <c r="CBK38" s="1001"/>
      <c r="CBL38" s="1001"/>
      <c r="CBM38" s="1001"/>
      <c r="CBN38" s="1001"/>
      <c r="CBO38" s="1001"/>
      <c r="CBP38" s="1001"/>
      <c r="CBQ38" s="1001"/>
      <c r="CBR38" s="1001"/>
      <c r="CBS38" s="1001"/>
      <c r="CBT38" s="1001"/>
      <c r="CBU38" s="1001"/>
      <c r="CBV38" s="1001"/>
      <c r="CBW38" s="1001"/>
      <c r="CBX38" s="1001"/>
      <c r="CBY38" s="1001"/>
      <c r="CBZ38" s="1001"/>
      <c r="CCA38" s="1001"/>
      <c r="CCB38" s="1001"/>
      <c r="CCC38" s="1001"/>
      <c r="CCD38" s="1001"/>
      <c r="CCE38" s="1001"/>
      <c r="CCF38" s="1001"/>
      <c r="CCG38" s="1001"/>
      <c r="CCH38" s="1001"/>
      <c r="CCI38" s="1001"/>
      <c r="CCJ38" s="1001"/>
      <c r="CCK38" s="1001"/>
      <c r="CCL38" s="1001"/>
      <c r="CCM38" s="1001"/>
      <c r="CCN38" s="1001"/>
      <c r="CCO38" s="1001"/>
      <c r="CCP38" s="1001"/>
      <c r="CCQ38" s="1001"/>
      <c r="CCR38" s="1001"/>
      <c r="CCS38" s="1001"/>
      <c r="CCT38" s="1001"/>
      <c r="CCU38" s="1001"/>
      <c r="CCV38" s="1001"/>
      <c r="CCW38" s="1001"/>
      <c r="CCX38" s="1001"/>
      <c r="CCY38" s="1001"/>
      <c r="CCZ38" s="1001"/>
      <c r="CDA38" s="1001"/>
      <c r="CDB38" s="1001"/>
      <c r="CDC38" s="1001"/>
      <c r="CDD38" s="1001"/>
      <c r="CDE38" s="1001"/>
      <c r="CDF38" s="1001"/>
      <c r="CDG38" s="1001"/>
      <c r="CDH38" s="1001"/>
      <c r="CDI38" s="1001"/>
      <c r="CDJ38" s="1001"/>
      <c r="CDK38" s="1001"/>
      <c r="CDL38" s="1001"/>
      <c r="CDM38" s="1001"/>
      <c r="CDN38" s="1001"/>
      <c r="CDO38" s="1001"/>
      <c r="CDP38" s="1001"/>
      <c r="CDQ38" s="1001"/>
      <c r="CDR38" s="1001"/>
      <c r="CDS38" s="1001"/>
      <c r="CDT38" s="1001"/>
      <c r="CDU38" s="1001"/>
      <c r="CDV38" s="1001"/>
      <c r="CDW38" s="1001"/>
      <c r="CDX38" s="1001"/>
      <c r="CDY38" s="1001"/>
      <c r="CDZ38" s="1001"/>
      <c r="CEA38" s="1001"/>
      <c r="CEB38" s="1001"/>
      <c r="CEC38" s="1001"/>
      <c r="CED38" s="1001"/>
      <c r="CEE38" s="1001"/>
      <c r="CEF38" s="1001"/>
      <c r="CEG38" s="1001"/>
      <c r="CEH38" s="1001"/>
      <c r="CEI38" s="1001"/>
      <c r="CEJ38" s="1001"/>
      <c r="CEK38" s="1001"/>
      <c r="CEL38" s="1001"/>
      <c r="CEM38" s="1001"/>
      <c r="CEN38" s="1001"/>
      <c r="CEO38" s="1001"/>
      <c r="CEP38" s="1001"/>
      <c r="CEQ38" s="1001"/>
      <c r="CER38" s="1001"/>
      <c r="CES38" s="1001"/>
      <c r="CET38" s="1001"/>
      <c r="CEU38" s="1001"/>
      <c r="CEV38" s="1001"/>
      <c r="CEW38" s="1001"/>
      <c r="CEX38" s="1001"/>
      <c r="CEY38" s="1001"/>
      <c r="CEZ38" s="1001"/>
      <c r="CFA38" s="1001"/>
      <c r="CFB38" s="1001"/>
      <c r="CFC38" s="1001"/>
      <c r="CFD38" s="1001"/>
      <c r="CFE38" s="1001"/>
      <c r="CFF38" s="1001"/>
      <c r="CFG38" s="1001"/>
      <c r="CFH38" s="1001"/>
      <c r="CFI38" s="1001"/>
      <c r="CFJ38" s="1001"/>
      <c r="CFK38" s="1001"/>
      <c r="CFL38" s="1001"/>
      <c r="CFM38" s="1001"/>
      <c r="CFN38" s="1001"/>
      <c r="CFO38" s="1001"/>
      <c r="CFP38" s="1001"/>
      <c r="CFQ38" s="1001"/>
      <c r="CFR38" s="1001"/>
      <c r="CFS38" s="1001"/>
      <c r="CFT38" s="1001"/>
      <c r="CFU38" s="1001"/>
      <c r="CFV38" s="1001"/>
      <c r="CFW38" s="1001"/>
      <c r="CFX38" s="1001"/>
      <c r="CFY38" s="1001"/>
      <c r="CFZ38" s="1001"/>
      <c r="CGA38" s="1001"/>
      <c r="CGB38" s="1001"/>
      <c r="CGC38" s="1001"/>
      <c r="CGD38" s="1001"/>
      <c r="CGE38" s="1001"/>
      <c r="CGF38" s="1001"/>
      <c r="CGG38" s="1001"/>
      <c r="CGH38" s="1001"/>
      <c r="CGI38" s="1001"/>
      <c r="CGJ38" s="1001"/>
      <c r="CGK38" s="1001"/>
      <c r="CGL38" s="1001"/>
      <c r="CGM38" s="1001"/>
      <c r="CGN38" s="1001"/>
      <c r="CGO38" s="1001"/>
      <c r="CGP38" s="1001"/>
      <c r="CGQ38" s="1001"/>
      <c r="CGR38" s="1001"/>
      <c r="CGS38" s="1001"/>
      <c r="CGT38" s="1001"/>
      <c r="CGU38" s="1001"/>
      <c r="CGV38" s="1001"/>
      <c r="CGW38" s="1001"/>
      <c r="CGX38" s="1001"/>
      <c r="CGY38" s="1001"/>
      <c r="CGZ38" s="1001"/>
      <c r="CHA38" s="1001"/>
      <c r="CHB38" s="1001"/>
      <c r="CHC38" s="1001"/>
      <c r="CHD38" s="1001"/>
      <c r="CHE38" s="1001"/>
      <c r="CHF38" s="1001"/>
      <c r="CHG38" s="1001"/>
      <c r="CHH38" s="1001"/>
      <c r="CHI38" s="1001"/>
      <c r="CHJ38" s="1001"/>
      <c r="CHK38" s="1001"/>
      <c r="CHL38" s="1001"/>
      <c r="CHM38" s="1001"/>
      <c r="CHN38" s="1001"/>
      <c r="CHO38" s="1001"/>
      <c r="CHP38" s="1001"/>
      <c r="CHQ38" s="1001"/>
      <c r="CHR38" s="1001"/>
      <c r="CHS38" s="1001"/>
      <c r="CHT38" s="1001"/>
      <c r="CHU38" s="1001"/>
      <c r="CHV38" s="1001"/>
      <c r="CHW38" s="1001"/>
      <c r="CHX38" s="1001"/>
      <c r="CHY38" s="1001"/>
      <c r="CHZ38" s="1001"/>
      <c r="CIA38" s="1001"/>
      <c r="CIB38" s="1001"/>
      <c r="CIC38" s="1001"/>
      <c r="CID38" s="1001"/>
      <c r="CIE38" s="1001"/>
      <c r="CIF38" s="1001"/>
      <c r="CIG38" s="1001"/>
      <c r="CIH38" s="1001"/>
      <c r="CII38" s="1001"/>
      <c r="CIJ38" s="1001"/>
      <c r="CIK38" s="1001"/>
      <c r="CIL38" s="1001"/>
      <c r="CIM38" s="1001"/>
      <c r="CIN38" s="1001"/>
      <c r="CIO38" s="1001"/>
      <c r="CIP38" s="1001"/>
      <c r="CIQ38" s="1001"/>
      <c r="CIR38" s="1001"/>
      <c r="CIS38" s="1001"/>
      <c r="CIT38" s="1001"/>
      <c r="CIU38" s="1001"/>
      <c r="CIV38" s="1001"/>
      <c r="CIW38" s="1001"/>
      <c r="CIX38" s="1001"/>
      <c r="CIY38" s="1001"/>
      <c r="CIZ38" s="1001"/>
      <c r="CJA38" s="1001"/>
      <c r="CJB38" s="1001"/>
      <c r="CJC38" s="1001"/>
      <c r="CJD38" s="1001"/>
      <c r="CJE38" s="1001"/>
      <c r="CJF38" s="1001"/>
      <c r="CJG38" s="1001"/>
      <c r="CJH38" s="1001"/>
      <c r="CJI38" s="1001"/>
      <c r="CJJ38" s="1001"/>
      <c r="CJK38" s="1001"/>
      <c r="CJL38" s="1001"/>
      <c r="CJM38" s="1001"/>
      <c r="CJN38" s="1001"/>
      <c r="CJO38" s="1001"/>
      <c r="CJP38" s="1001"/>
      <c r="CJQ38" s="1001"/>
      <c r="CJR38" s="1001"/>
      <c r="CJS38" s="1001"/>
      <c r="CJT38" s="1001"/>
      <c r="CJU38" s="1001"/>
      <c r="CJV38" s="1001"/>
      <c r="CJW38" s="1001"/>
      <c r="CJX38" s="1001"/>
      <c r="CJY38" s="1001"/>
      <c r="CJZ38" s="1001"/>
      <c r="CKA38" s="1001"/>
      <c r="CKB38" s="1001"/>
      <c r="CKC38" s="1001"/>
      <c r="CKD38" s="1001"/>
      <c r="CKE38" s="1001"/>
      <c r="CKF38" s="1001"/>
      <c r="CKG38" s="1001"/>
      <c r="CKH38" s="1001"/>
      <c r="CKI38" s="1001"/>
      <c r="CKJ38" s="1001"/>
      <c r="CKK38" s="1001"/>
      <c r="CKL38" s="1001"/>
      <c r="CKM38" s="1001"/>
      <c r="CKN38" s="1001"/>
      <c r="CKO38" s="1001"/>
      <c r="CKP38" s="1001"/>
      <c r="CKQ38" s="1001"/>
      <c r="CKR38" s="1001"/>
      <c r="CKS38" s="1001"/>
      <c r="CKT38" s="1001"/>
      <c r="CKU38" s="1001"/>
      <c r="CKV38" s="1001"/>
      <c r="CKW38" s="1001"/>
      <c r="CKX38" s="1001"/>
      <c r="CKY38" s="1001"/>
      <c r="CKZ38" s="1001"/>
      <c r="CLA38" s="1001"/>
      <c r="CLB38" s="1001"/>
      <c r="CLC38" s="1001"/>
      <c r="CLD38" s="1001"/>
      <c r="CLE38" s="1001"/>
      <c r="CLF38" s="1001"/>
      <c r="CLG38" s="1001"/>
      <c r="CLH38" s="1001"/>
      <c r="CLI38" s="1001"/>
      <c r="CLJ38" s="1001"/>
      <c r="CLK38" s="1001"/>
      <c r="CLL38" s="1001"/>
      <c r="CLM38" s="1001"/>
      <c r="CLN38" s="1001"/>
      <c r="CLO38" s="1001"/>
      <c r="CLP38" s="1001"/>
      <c r="CLQ38" s="1001"/>
      <c r="CLR38" s="1001"/>
      <c r="CLS38" s="1001"/>
      <c r="CLT38" s="1001"/>
      <c r="CLU38" s="1001"/>
      <c r="CLV38" s="1001"/>
      <c r="CLW38" s="1001"/>
      <c r="CLX38" s="1001"/>
      <c r="CLY38" s="1001"/>
      <c r="CLZ38" s="1001"/>
      <c r="CMA38" s="1001"/>
      <c r="CMB38" s="1001"/>
      <c r="CMC38" s="1001"/>
      <c r="CMD38" s="1001"/>
      <c r="CME38" s="1001"/>
      <c r="CMF38" s="1001"/>
      <c r="CMG38" s="1001"/>
      <c r="CMH38" s="1001"/>
      <c r="CMI38" s="1001"/>
      <c r="CMJ38" s="1001"/>
      <c r="CMK38" s="1001"/>
      <c r="CML38" s="1001"/>
      <c r="CMM38" s="1001"/>
      <c r="CMN38" s="1001"/>
      <c r="CMO38" s="1001"/>
      <c r="CMP38" s="1001"/>
      <c r="CMQ38" s="1001"/>
      <c r="CMR38" s="1001"/>
      <c r="CMS38" s="1001"/>
      <c r="CMT38" s="1001"/>
      <c r="CMU38" s="1001"/>
      <c r="CMV38" s="1001"/>
      <c r="CMW38" s="1001"/>
      <c r="CMX38" s="1001"/>
      <c r="CMY38" s="1001"/>
      <c r="CMZ38" s="1001"/>
      <c r="CNA38" s="1001"/>
      <c r="CNB38" s="1001"/>
      <c r="CNC38" s="1001"/>
      <c r="CND38" s="1001"/>
      <c r="CNE38" s="1001"/>
      <c r="CNF38" s="1001"/>
      <c r="CNG38" s="1001"/>
      <c r="CNH38" s="1001"/>
      <c r="CNI38" s="1001"/>
      <c r="CNJ38" s="1001"/>
      <c r="CNK38" s="1001"/>
      <c r="CNL38" s="1001"/>
      <c r="CNM38" s="1001"/>
      <c r="CNN38" s="1001"/>
      <c r="CNO38" s="1001"/>
      <c r="CNP38" s="1001"/>
      <c r="CNQ38" s="1001"/>
      <c r="CNR38" s="1001"/>
      <c r="CNS38" s="1001"/>
      <c r="CNT38" s="1001"/>
      <c r="CNU38" s="1001"/>
      <c r="CNV38" s="1001"/>
      <c r="CNW38" s="1001"/>
      <c r="CNX38" s="1001"/>
      <c r="CNY38" s="1001"/>
      <c r="CNZ38" s="1001"/>
      <c r="COA38" s="1001"/>
      <c r="COB38" s="1001"/>
      <c r="COC38" s="1001"/>
      <c r="COD38" s="1001"/>
      <c r="COE38" s="1001"/>
      <c r="COF38" s="1001"/>
      <c r="COG38" s="1001"/>
      <c r="COH38" s="1001"/>
      <c r="COI38" s="1001"/>
      <c r="COJ38" s="1001"/>
      <c r="COK38" s="1001"/>
      <c r="COL38" s="1001"/>
      <c r="COM38" s="1001"/>
      <c r="CON38" s="1001"/>
      <c r="COO38" s="1001"/>
      <c r="COP38" s="1001"/>
      <c r="COQ38" s="1001"/>
      <c r="COR38" s="1001"/>
      <c r="COS38" s="1001"/>
      <c r="COT38" s="1001"/>
      <c r="COU38" s="1001"/>
      <c r="COV38" s="1001"/>
      <c r="COW38" s="1001"/>
      <c r="COX38" s="1001"/>
      <c r="COY38" s="1001"/>
      <c r="COZ38" s="1001"/>
      <c r="CPA38" s="1001"/>
      <c r="CPB38" s="1001"/>
      <c r="CPC38" s="1001"/>
      <c r="CPD38" s="1001"/>
      <c r="CPE38" s="1001"/>
      <c r="CPF38" s="1001"/>
      <c r="CPG38" s="1001"/>
      <c r="CPH38" s="1001"/>
      <c r="CPI38" s="1001"/>
      <c r="CPJ38" s="1001"/>
      <c r="CPK38" s="1001"/>
      <c r="CPL38" s="1001"/>
      <c r="CPM38" s="1001"/>
      <c r="CPN38" s="1001"/>
      <c r="CPO38" s="1001"/>
      <c r="CPP38" s="1001"/>
      <c r="CPQ38" s="1001"/>
      <c r="CPR38" s="1001"/>
      <c r="CPS38" s="1001"/>
      <c r="CPT38" s="1001"/>
      <c r="CPU38" s="1001"/>
      <c r="CPV38" s="1001"/>
      <c r="CPW38" s="1001"/>
      <c r="CPX38" s="1001"/>
      <c r="CPY38" s="1001"/>
      <c r="CPZ38" s="1001"/>
      <c r="CQA38" s="1001"/>
      <c r="CQB38" s="1001"/>
      <c r="CQC38" s="1001"/>
      <c r="CQD38" s="1001"/>
      <c r="CQE38" s="1001"/>
      <c r="CQF38" s="1001"/>
      <c r="CQG38" s="1001"/>
      <c r="CQH38" s="1001"/>
      <c r="CQI38" s="1001"/>
      <c r="CQJ38" s="1001"/>
      <c r="CQK38" s="1001"/>
      <c r="CQL38" s="1001"/>
      <c r="CQM38" s="1001"/>
      <c r="CQN38" s="1001"/>
      <c r="CQO38" s="1001"/>
      <c r="CQP38" s="1001"/>
      <c r="CQQ38" s="1001"/>
      <c r="CQR38" s="1001"/>
      <c r="CQS38" s="1001"/>
      <c r="CQT38" s="1001"/>
      <c r="CQU38" s="1001"/>
      <c r="CQV38" s="1001"/>
      <c r="CQW38" s="1001"/>
      <c r="CQX38" s="1001"/>
      <c r="CQY38" s="1001"/>
      <c r="CQZ38" s="1001"/>
      <c r="CRA38" s="1001"/>
      <c r="CRB38" s="1001"/>
      <c r="CRC38" s="1001"/>
      <c r="CRD38" s="1001"/>
      <c r="CRE38" s="1001"/>
      <c r="CRF38" s="1001"/>
      <c r="CRG38" s="1001"/>
      <c r="CRH38" s="1001"/>
      <c r="CRI38" s="1001"/>
      <c r="CRJ38" s="1001"/>
      <c r="CRK38" s="1001"/>
      <c r="CRL38" s="1001"/>
      <c r="CRM38" s="1001"/>
      <c r="CRN38" s="1001"/>
      <c r="CRO38" s="1001"/>
      <c r="CRP38" s="1001"/>
      <c r="CRQ38" s="1001"/>
      <c r="CRR38" s="1001"/>
      <c r="CRS38" s="1001"/>
      <c r="CRT38" s="1001"/>
      <c r="CRU38" s="1001"/>
      <c r="CRV38" s="1001"/>
      <c r="CRW38" s="1001"/>
      <c r="CRX38" s="1001"/>
      <c r="CRY38" s="1001"/>
      <c r="CRZ38" s="1001"/>
      <c r="CSA38" s="1001"/>
      <c r="CSB38" s="1001"/>
      <c r="CSC38" s="1001"/>
      <c r="CSD38" s="1001"/>
      <c r="CSE38" s="1001"/>
      <c r="CSF38" s="1001"/>
      <c r="CSG38" s="1001"/>
      <c r="CSH38" s="1001"/>
      <c r="CSI38" s="1001"/>
      <c r="CSJ38" s="1001"/>
      <c r="CSK38" s="1001"/>
      <c r="CSL38" s="1001"/>
      <c r="CSM38" s="1001"/>
      <c r="CSN38" s="1001"/>
      <c r="CSO38" s="1001"/>
      <c r="CSP38" s="1001"/>
      <c r="CSQ38" s="1001"/>
      <c r="CSR38" s="1001"/>
      <c r="CSS38" s="1001"/>
      <c r="CST38" s="1001"/>
      <c r="CSU38" s="1001"/>
      <c r="CSV38" s="1001"/>
      <c r="CSW38" s="1001"/>
      <c r="CSX38" s="1001"/>
      <c r="CSY38" s="1001"/>
      <c r="CSZ38" s="1001"/>
      <c r="CTA38" s="1001"/>
      <c r="CTB38" s="1001"/>
      <c r="CTC38" s="1001"/>
      <c r="CTD38" s="1001"/>
      <c r="CTE38" s="1001"/>
      <c r="CTF38" s="1001"/>
      <c r="CTG38" s="1001"/>
      <c r="CTH38" s="1001"/>
      <c r="CTI38" s="1001"/>
      <c r="CTJ38" s="1001"/>
      <c r="CTK38" s="1001"/>
      <c r="CTL38" s="1001"/>
      <c r="CTM38" s="1001"/>
      <c r="CTN38" s="1001"/>
      <c r="CTO38" s="1001"/>
      <c r="CTP38" s="1001"/>
      <c r="CTQ38" s="1001"/>
      <c r="CTR38" s="1001"/>
      <c r="CTS38" s="1001"/>
      <c r="CTT38" s="1001"/>
      <c r="CTU38" s="1001"/>
      <c r="CTV38" s="1001"/>
      <c r="CTW38" s="1001"/>
      <c r="CTX38" s="1001"/>
      <c r="CTY38" s="1001"/>
      <c r="CTZ38" s="1001"/>
      <c r="CUA38" s="1001"/>
      <c r="CUB38" s="1001"/>
      <c r="CUC38" s="1001"/>
      <c r="CUD38" s="1001"/>
      <c r="CUE38" s="1001"/>
      <c r="CUF38" s="1001"/>
      <c r="CUG38" s="1001"/>
      <c r="CUH38" s="1001"/>
      <c r="CUI38" s="1001"/>
      <c r="CUJ38" s="1001"/>
      <c r="CUK38" s="1001"/>
      <c r="CUL38" s="1001"/>
      <c r="CUM38" s="1001"/>
      <c r="CUN38" s="1001"/>
      <c r="CUO38" s="1001"/>
      <c r="CUP38" s="1001"/>
      <c r="CUQ38" s="1001"/>
      <c r="CUR38" s="1001"/>
      <c r="CUS38" s="1001"/>
      <c r="CUT38" s="1001"/>
      <c r="CUU38" s="1001"/>
      <c r="CUV38" s="1001"/>
      <c r="CUW38" s="1001"/>
      <c r="CUX38" s="1001"/>
      <c r="CUY38" s="1001"/>
      <c r="CUZ38" s="1001"/>
      <c r="CVA38" s="1001"/>
      <c r="CVB38" s="1001"/>
      <c r="CVC38" s="1001"/>
      <c r="CVD38" s="1001"/>
      <c r="CVE38" s="1001"/>
      <c r="CVF38" s="1001"/>
      <c r="CVG38" s="1001"/>
      <c r="CVH38" s="1001"/>
      <c r="CVI38" s="1001"/>
      <c r="CVJ38" s="1001"/>
      <c r="CVK38" s="1001"/>
      <c r="CVL38" s="1001"/>
      <c r="CVM38" s="1001"/>
      <c r="CVN38" s="1001"/>
      <c r="CVO38" s="1001"/>
      <c r="CVP38" s="1001"/>
      <c r="CVQ38" s="1001"/>
      <c r="CVR38" s="1001"/>
      <c r="CVS38" s="1001"/>
      <c r="CVT38" s="1001"/>
      <c r="CVU38" s="1001"/>
      <c r="CVV38" s="1001"/>
      <c r="CVW38" s="1001"/>
      <c r="CVX38" s="1001"/>
      <c r="CVY38" s="1001"/>
      <c r="CVZ38" s="1001"/>
      <c r="CWA38" s="1001"/>
      <c r="CWB38" s="1001"/>
      <c r="CWC38" s="1001"/>
      <c r="CWD38" s="1001"/>
      <c r="CWE38" s="1001"/>
      <c r="CWF38" s="1001"/>
      <c r="CWG38" s="1001"/>
      <c r="CWH38" s="1001"/>
      <c r="CWI38" s="1001"/>
      <c r="CWJ38" s="1001"/>
      <c r="CWK38" s="1001"/>
      <c r="CWL38" s="1001"/>
      <c r="CWM38" s="1001"/>
      <c r="CWN38" s="1001"/>
      <c r="CWO38" s="1001"/>
      <c r="CWP38" s="1001"/>
      <c r="CWQ38" s="1001"/>
      <c r="CWR38" s="1001"/>
      <c r="CWS38" s="1001"/>
      <c r="CWT38" s="1001"/>
      <c r="CWU38" s="1001"/>
      <c r="CWV38" s="1001"/>
      <c r="CWW38" s="1001"/>
      <c r="CWX38" s="1001"/>
      <c r="CWY38" s="1001"/>
      <c r="CWZ38" s="1001"/>
      <c r="CXA38" s="1001"/>
      <c r="CXB38" s="1001"/>
      <c r="CXC38" s="1001"/>
      <c r="CXD38" s="1001"/>
      <c r="CXE38" s="1001"/>
      <c r="CXF38" s="1001"/>
      <c r="CXG38" s="1001"/>
      <c r="CXH38" s="1001"/>
      <c r="CXI38" s="1001"/>
      <c r="CXJ38" s="1001"/>
      <c r="CXK38" s="1001"/>
      <c r="CXL38" s="1001"/>
      <c r="CXM38" s="1001"/>
      <c r="CXN38" s="1001"/>
      <c r="CXO38" s="1001"/>
      <c r="CXP38" s="1001"/>
      <c r="CXQ38" s="1001"/>
      <c r="CXR38" s="1001"/>
      <c r="CXS38" s="1001"/>
      <c r="CXT38" s="1001"/>
      <c r="CXU38" s="1001"/>
      <c r="CXV38" s="1001"/>
      <c r="CXW38" s="1001"/>
      <c r="CXX38" s="1001"/>
      <c r="CXY38" s="1001"/>
      <c r="CXZ38" s="1001"/>
      <c r="CYA38" s="1001"/>
      <c r="CYB38" s="1001"/>
      <c r="CYC38" s="1001"/>
      <c r="CYD38" s="1001"/>
      <c r="CYE38" s="1001"/>
      <c r="CYF38" s="1001"/>
      <c r="CYG38" s="1001"/>
      <c r="CYH38" s="1001"/>
      <c r="CYI38" s="1001"/>
      <c r="CYJ38" s="1001"/>
      <c r="CYK38" s="1001"/>
      <c r="CYL38" s="1001"/>
      <c r="CYM38" s="1001"/>
      <c r="CYN38" s="1001"/>
      <c r="CYO38" s="1001"/>
      <c r="CYP38" s="1001"/>
      <c r="CYQ38" s="1001"/>
      <c r="CYR38" s="1001"/>
      <c r="CYS38" s="1001"/>
      <c r="CYT38" s="1001"/>
      <c r="CYU38" s="1001"/>
      <c r="CYV38" s="1001"/>
      <c r="CYW38" s="1001"/>
      <c r="CYX38" s="1001"/>
      <c r="CYY38" s="1001"/>
      <c r="CYZ38" s="1001"/>
      <c r="CZA38" s="1001"/>
      <c r="CZB38" s="1001"/>
      <c r="CZC38" s="1001"/>
      <c r="CZD38" s="1001"/>
      <c r="CZE38" s="1001"/>
      <c r="CZF38" s="1001"/>
      <c r="CZG38" s="1001"/>
      <c r="CZH38" s="1001"/>
      <c r="CZI38" s="1001"/>
      <c r="CZJ38" s="1001"/>
      <c r="CZK38" s="1001"/>
      <c r="CZL38" s="1001"/>
      <c r="CZM38" s="1001"/>
      <c r="CZN38" s="1001"/>
      <c r="CZO38" s="1001"/>
      <c r="CZP38" s="1001"/>
      <c r="CZQ38" s="1001"/>
      <c r="CZR38" s="1001"/>
      <c r="CZS38" s="1001"/>
      <c r="CZT38" s="1001"/>
      <c r="CZU38" s="1001"/>
      <c r="CZV38" s="1001"/>
      <c r="CZW38" s="1001"/>
      <c r="CZX38" s="1001"/>
      <c r="CZY38" s="1001"/>
      <c r="CZZ38" s="1001"/>
      <c r="DAA38" s="1001"/>
      <c r="DAB38" s="1001"/>
      <c r="DAC38" s="1001"/>
      <c r="DAD38" s="1001"/>
      <c r="DAE38" s="1001"/>
      <c r="DAF38" s="1001"/>
      <c r="DAG38" s="1001"/>
      <c r="DAH38" s="1001"/>
      <c r="DAI38" s="1001"/>
      <c r="DAJ38" s="1001"/>
      <c r="DAK38" s="1001"/>
      <c r="DAL38" s="1001"/>
      <c r="DAM38" s="1001"/>
      <c r="DAN38" s="1001"/>
      <c r="DAO38" s="1001"/>
      <c r="DAP38" s="1001"/>
      <c r="DAQ38" s="1001"/>
      <c r="DAR38" s="1001"/>
      <c r="DAS38" s="1001"/>
      <c r="DAT38" s="1001"/>
      <c r="DAU38" s="1001"/>
      <c r="DAV38" s="1001"/>
      <c r="DAW38" s="1001"/>
      <c r="DAX38" s="1001"/>
      <c r="DAY38" s="1001"/>
      <c r="DAZ38" s="1001"/>
      <c r="DBA38" s="1001"/>
      <c r="DBB38" s="1001"/>
      <c r="DBC38" s="1001"/>
      <c r="DBD38" s="1001"/>
      <c r="DBE38" s="1001"/>
      <c r="DBF38" s="1001"/>
      <c r="DBG38" s="1001"/>
      <c r="DBH38" s="1001"/>
      <c r="DBI38" s="1001"/>
      <c r="DBJ38" s="1001"/>
      <c r="DBK38" s="1001"/>
      <c r="DBL38" s="1001"/>
      <c r="DBM38" s="1001"/>
      <c r="DBN38" s="1001"/>
      <c r="DBO38" s="1001"/>
      <c r="DBP38" s="1001"/>
      <c r="DBQ38" s="1001"/>
      <c r="DBR38" s="1001"/>
      <c r="DBS38" s="1001"/>
      <c r="DBT38" s="1001"/>
      <c r="DBU38" s="1001"/>
      <c r="DBV38" s="1001"/>
      <c r="DBW38" s="1001"/>
      <c r="DBX38" s="1001"/>
      <c r="DBY38" s="1001"/>
      <c r="DBZ38" s="1001"/>
      <c r="DCA38" s="1001"/>
      <c r="DCB38" s="1001"/>
      <c r="DCC38" s="1001"/>
      <c r="DCD38" s="1001"/>
      <c r="DCE38" s="1001"/>
      <c r="DCF38" s="1001"/>
      <c r="DCG38" s="1001"/>
      <c r="DCH38" s="1001"/>
      <c r="DCI38" s="1001"/>
      <c r="DCJ38" s="1001"/>
      <c r="DCK38" s="1001"/>
      <c r="DCL38" s="1001"/>
      <c r="DCM38" s="1001"/>
      <c r="DCN38" s="1001"/>
      <c r="DCO38" s="1001"/>
      <c r="DCP38" s="1001"/>
      <c r="DCQ38" s="1001"/>
      <c r="DCR38" s="1001"/>
      <c r="DCS38" s="1001"/>
      <c r="DCT38" s="1001"/>
      <c r="DCU38" s="1001"/>
      <c r="DCV38" s="1001"/>
      <c r="DCW38" s="1001"/>
      <c r="DCX38" s="1001"/>
      <c r="DCY38" s="1001"/>
      <c r="DCZ38" s="1001"/>
      <c r="DDA38" s="1001"/>
      <c r="DDB38" s="1001"/>
      <c r="DDC38" s="1001"/>
      <c r="DDD38" s="1001"/>
      <c r="DDE38" s="1001"/>
      <c r="DDF38" s="1001"/>
      <c r="DDG38" s="1001"/>
      <c r="DDH38" s="1001"/>
      <c r="DDI38" s="1001"/>
      <c r="DDJ38" s="1001"/>
      <c r="DDK38" s="1001"/>
      <c r="DDL38" s="1001"/>
      <c r="DDM38" s="1001"/>
      <c r="DDN38" s="1001"/>
      <c r="DDO38" s="1001"/>
      <c r="DDP38" s="1001"/>
      <c r="DDQ38" s="1001"/>
      <c r="DDR38" s="1001"/>
      <c r="DDS38" s="1001"/>
      <c r="DDT38" s="1001"/>
      <c r="DDU38" s="1001"/>
      <c r="DDV38" s="1001"/>
      <c r="DDW38" s="1001"/>
      <c r="DDX38" s="1001"/>
      <c r="DDY38" s="1001"/>
      <c r="DDZ38" s="1001"/>
      <c r="DEA38" s="1001"/>
      <c r="DEB38" s="1001"/>
      <c r="DEC38" s="1001"/>
      <c r="DED38" s="1001"/>
      <c r="DEE38" s="1001"/>
      <c r="DEF38" s="1001"/>
      <c r="DEG38" s="1001"/>
      <c r="DEH38" s="1001"/>
      <c r="DEI38" s="1001"/>
      <c r="DEJ38" s="1001"/>
      <c r="DEK38" s="1001"/>
      <c r="DEL38" s="1001"/>
      <c r="DEM38" s="1001"/>
      <c r="DEN38" s="1001"/>
      <c r="DEO38" s="1001"/>
      <c r="DEP38" s="1001"/>
      <c r="DEQ38" s="1001"/>
      <c r="DER38" s="1001"/>
      <c r="DES38" s="1001"/>
      <c r="DET38" s="1001"/>
      <c r="DEU38" s="1001"/>
      <c r="DEV38" s="1001"/>
      <c r="DEW38" s="1001"/>
      <c r="DEX38" s="1001"/>
      <c r="DEY38" s="1001"/>
      <c r="DEZ38" s="1001"/>
      <c r="DFA38" s="1001"/>
      <c r="DFB38" s="1001"/>
      <c r="DFC38" s="1001"/>
      <c r="DFD38" s="1001"/>
      <c r="DFE38" s="1001"/>
      <c r="DFF38" s="1001"/>
      <c r="DFG38" s="1001"/>
      <c r="DFH38" s="1001"/>
      <c r="DFI38" s="1001"/>
      <c r="DFJ38" s="1001"/>
      <c r="DFK38" s="1001"/>
      <c r="DFL38" s="1001"/>
      <c r="DFM38" s="1001"/>
      <c r="DFN38" s="1001"/>
      <c r="DFO38" s="1001"/>
      <c r="DFP38" s="1001"/>
      <c r="DFQ38" s="1001"/>
      <c r="DFR38" s="1001"/>
      <c r="DFS38" s="1001"/>
      <c r="DFT38" s="1001"/>
      <c r="DFU38" s="1001"/>
      <c r="DFV38" s="1001"/>
      <c r="DFW38" s="1001"/>
      <c r="DFX38" s="1001"/>
      <c r="DFY38" s="1001"/>
      <c r="DFZ38" s="1001"/>
      <c r="DGA38" s="1001"/>
      <c r="DGB38" s="1001"/>
      <c r="DGC38" s="1001"/>
      <c r="DGD38" s="1001"/>
      <c r="DGE38" s="1001"/>
      <c r="DGF38" s="1001"/>
      <c r="DGG38" s="1001"/>
      <c r="DGH38" s="1001"/>
      <c r="DGI38" s="1001"/>
      <c r="DGJ38" s="1001"/>
      <c r="DGK38" s="1001"/>
      <c r="DGL38" s="1001"/>
      <c r="DGM38" s="1001"/>
      <c r="DGN38" s="1001"/>
      <c r="DGO38" s="1001"/>
      <c r="DGP38" s="1001"/>
      <c r="DGQ38" s="1001"/>
      <c r="DGR38" s="1001"/>
      <c r="DGS38" s="1001"/>
      <c r="DGT38" s="1001"/>
      <c r="DGU38" s="1001"/>
      <c r="DGV38" s="1001"/>
      <c r="DGW38" s="1001"/>
      <c r="DGX38" s="1001"/>
      <c r="DGY38" s="1001"/>
      <c r="DGZ38" s="1001"/>
      <c r="DHA38" s="1001"/>
      <c r="DHB38" s="1001"/>
      <c r="DHC38" s="1001"/>
      <c r="DHD38" s="1001"/>
      <c r="DHE38" s="1001"/>
      <c r="DHF38" s="1001"/>
      <c r="DHG38" s="1001"/>
      <c r="DHH38" s="1001"/>
      <c r="DHI38" s="1001"/>
      <c r="DHJ38" s="1001"/>
      <c r="DHK38" s="1001"/>
      <c r="DHL38" s="1001"/>
      <c r="DHM38" s="1001"/>
      <c r="DHN38" s="1001"/>
      <c r="DHO38" s="1001"/>
      <c r="DHP38" s="1001"/>
      <c r="DHQ38" s="1001"/>
      <c r="DHR38" s="1001"/>
      <c r="DHS38" s="1001"/>
      <c r="DHT38" s="1001"/>
      <c r="DHU38" s="1001"/>
      <c r="DHV38" s="1001"/>
      <c r="DHW38" s="1001"/>
      <c r="DHX38" s="1001"/>
      <c r="DHY38" s="1001"/>
      <c r="DHZ38" s="1001"/>
      <c r="DIA38" s="1001"/>
      <c r="DIB38" s="1001"/>
      <c r="DIC38" s="1001"/>
      <c r="DID38" s="1001"/>
      <c r="DIE38" s="1001"/>
      <c r="DIF38" s="1001"/>
      <c r="DIG38" s="1001"/>
      <c r="DIH38" s="1001"/>
      <c r="DII38" s="1001"/>
      <c r="DIJ38" s="1001"/>
      <c r="DIK38" s="1001"/>
      <c r="DIL38" s="1001"/>
      <c r="DIM38" s="1001"/>
      <c r="DIN38" s="1001"/>
      <c r="DIO38" s="1001"/>
      <c r="DIP38" s="1001"/>
      <c r="DIQ38" s="1001"/>
      <c r="DIR38" s="1001"/>
      <c r="DIS38" s="1001"/>
      <c r="DIT38" s="1001"/>
      <c r="DIU38" s="1001"/>
      <c r="DIV38" s="1001"/>
      <c r="DIW38" s="1001"/>
      <c r="DIX38" s="1001"/>
      <c r="DIY38" s="1001"/>
      <c r="DIZ38" s="1001"/>
      <c r="DJA38" s="1001"/>
      <c r="DJB38" s="1001"/>
      <c r="DJC38" s="1001"/>
      <c r="DJD38" s="1001"/>
      <c r="DJE38" s="1001"/>
      <c r="DJF38" s="1001"/>
      <c r="DJG38" s="1001"/>
      <c r="DJH38" s="1001"/>
      <c r="DJI38" s="1001"/>
      <c r="DJJ38" s="1001"/>
      <c r="DJK38" s="1001"/>
      <c r="DJL38" s="1001"/>
      <c r="DJM38" s="1001"/>
      <c r="DJN38" s="1001"/>
      <c r="DJO38" s="1001"/>
      <c r="DJP38" s="1001"/>
      <c r="DJQ38" s="1001"/>
      <c r="DJR38" s="1001"/>
      <c r="DJS38" s="1001"/>
      <c r="DJT38" s="1001"/>
      <c r="DJU38" s="1001"/>
      <c r="DJV38" s="1001"/>
      <c r="DJW38" s="1001"/>
      <c r="DJX38" s="1001"/>
      <c r="DJY38" s="1001"/>
      <c r="DJZ38" s="1001"/>
      <c r="DKA38" s="1001"/>
      <c r="DKB38" s="1001"/>
      <c r="DKC38" s="1001"/>
      <c r="DKD38" s="1001"/>
      <c r="DKE38" s="1001"/>
      <c r="DKF38" s="1001"/>
      <c r="DKG38" s="1001"/>
      <c r="DKH38" s="1001"/>
      <c r="DKI38" s="1001"/>
      <c r="DKJ38" s="1001"/>
      <c r="DKK38" s="1001"/>
      <c r="DKL38" s="1001"/>
      <c r="DKM38" s="1001"/>
      <c r="DKN38" s="1001"/>
      <c r="DKO38" s="1001"/>
      <c r="DKP38" s="1001"/>
      <c r="DKQ38" s="1001"/>
      <c r="DKR38" s="1001"/>
      <c r="DKS38" s="1001"/>
      <c r="DKT38" s="1001"/>
      <c r="DKU38" s="1001"/>
      <c r="DKV38" s="1001"/>
      <c r="DKW38" s="1001"/>
      <c r="DKX38" s="1001"/>
      <c r="DKY38" s="1001"/>
      <c r="DKZ38" s="1001"/>
      <c r="DLA38" s="1001"/>
      <c r="DLB38" s="1001"/>
      <c r="DLC38" s="1001"/>
      <c r="DLD38" s="1001"/>
      <c r="DLE38" s="1001"/>
      <c r="DLF38" s="1001"/>
      <c r="DLG38" s="1001"/>
      <c r="DLH38" s="1001"/>
      <c r="DLI38" s="1001"/>
      <c r="DLJ38" s="1001"/>
      <c r="DLK38" s="1001"/>
      <c r="DLL38" s="1001"/>
      <c r="DLM38" s="1001"/>
      <c r="DLN38" s="1001"/>
      <c r="DLO38" s="1001"/>
      <c r="DLP38" s="1001"/>
      <c r="DLQ38" s="1001"/>
      <c r="DLR38" s="1001"/>
      <c r="DLS38" s="1001"/>
      <c r="DLT38" s="1001"/>
      <c r="DLU38" s="1001"/>
      <c r="DLV38" s="1001"/>
      <c r="DLW38" s="1001"/>
      <c r="DLX38" s="1001"/>
      <c r="DLY38" s="1001"/>
      <c r="DLZ38" s="1001"/>
      <c r="DMA38" s="1001"/>
      <c r="DMB38" s="1001"/>
      <c r="DMC38" s="1001"/>
      <c r="DMD38" s="1001"/>
      <c r="DME38" s="1001"/>
      <c r="DMF38" s="1001"/>
      <c r="DMG38" s="1001"/>
      <c r="DMH38" s="1001"/>
      <c r="DMI38" s="1001"/>
      <c r="DMJ38" s="1001"/>
      <c r="DMK38" s="1001"/>
      <c r="DML38" s="1001"/>
      <c r="DMM38" s="1001"/>
      <c r="DMN38" s="1001"/>
      <c r="DMO38" s="1001"/>
      <c r="DMP38" s="1001"/>
      <c r="DMQ38" s="1001"/>
      <c r="DMR38" s="1001"/>
      <c r="DMS38" s="1001"/>
      <c r="DMT38" s="1001"/>
      <c r="DMU38" s="1001"/>
      <c r="DMV38" s="1001"/>
      <c r="DMW38" s="1001"/>
      <c r="DMX38" s="1001"/>
      <c r="DMY38" s="1001"/>
      <c r="DMZ38" s="1001"/>
      <c r="DNA38" s="1001"/>
      <c r="DNB38" s="1001"/>
      <c r="DNC38" s="1001"/>
      <c r="DND38" s="1001"/>
      <c r="DNE38" s="1001"/>
      <c r="DNF38" s="1001"/>
      <c r="DNG38" s="1001"/>
      <c r="DNH38" s="1001"/>
      <c r="DNI38" s="1001"/>
      <c r="DNJ38" s="1001"/>
      <c r="DNK38" s="1001"/>
      <c r="DNL38" s="1001"/>
      <c r="DNM38" s="1001"/>
      <c r="DNN38" s="1001"/>
      <c r="DNO38" s="1001"/>
      <c r="DNP38" s="1001"/>
      <c r="DNQ38" s="1001"/>
      <c r="DNR38" s="1001"/>
      <c r="DNS38" s="1001"/>
      <c r="DNT38" s="1001"/>
      <c r="DNU38" s="1001"/>
      <c r="DNV38" s="1001"/>
      <c r="DNW38" s="1001"/>
      <c r="DNX38" s="1001"/>
      <c r="DNY38" s="1001"/>
      <c r="DNZ38" s="1001"/>
      <c r="DOA38" s="1001"/>
      <c r="DOB38" s="1001"/>
      <c r="DOC38" s="1001"/>
      <c r="DOD38" s="1001"/>
      <c r="DOE38" s="1001"/>
      <c r="DOF38" s="1001"/>
      <c r="DOG38" s="1001"/>
      <c r="DOH38" s="1001"/>
      <c r="DOI38" s="1001"/>
      <c r="DOJ38" s="1001"/>
      <c r="DOK38" s="1001"/>
      <c r="DOL38" s="1001"/>
      <c r="DOM38" s="1001"/>
      <c r="DON38" s="1001"/>
      <c r="DOO38" s="1001"/>
      <c r="DOP38" s="1001"/>
      <c r="DOQ38" s="1001"/>
      <c r="DOR38" s="1001"/>
      <c r="DOS38" s="1001"/>
      <c r="DOT38" s="1001"/>
      <c r="DOU38" s="1001"/>
      <c r="DOV38" s="1001"/>
      <c r="DOW38" s="1001"/>
      <c r="DOX38" s="1001"/>
      <c r="DOY38" s="1001"/>
      <c r="DOZ38" s="1001"/>
      <c r="DPA38" s="1001"/>
      <c r="DPB38" s="1001"/>
      <c r="DPC38" s="1001"/>
      <c r="DPD38" s="1001"/>
      <c r="DPE38" s="1001"/>
      <c r="DPF38" s="1001"/>
      <c r="DPG38" s="1001"/>
      <c r="DPH38" s="1001"/>
      <c r="DPI38" s="1001"/>
      <c r="DPJ38" s="1001"/>
      <c r="DPK38" s="1001"/>
      <c r="DPL38" s="1001"/>
      <c r="DPM38" s="1001"/>
      <c r="DPN38" s="1001"/>
      <c r="DPO38" s="1001"/>
      <c r="DPP38" s="1001"/>
      <c r="DPQ38" s="1001"/>
      <c r="DPR38" s="1001"/>
      <c r="DPS38" s="1001"/>
      <c r="DPT38" s="1001"/>
      <c r="DPU38" s="1001"/>
      <c r="DPV38" s="1001"/>
      <c r="DPW38" s="1001"/>
      <c r="DPX38" s="1001"/>
      <c r="DPY38" s="1001"/>
      <c r="DPZ38" s="1001"/>
      <c r="DQA38" s="1001"/>
      <c r="DQB38" s="1001"/>
      <c r="DQC38" s="1001"/>
      <c r="DQD38" s="1001"/>
      <c r="DQE38" s="1001"/>
      <c r="DQF38" s="1001"/>
      <c r="DQG38" s="1001"/>
      <c r="DQH38" s="1001"/>
      <c r="DQI38" s="1001"/>
      <c r="DQJ38" s="1001"/>
      <c r="DQK38" s="1001"/>
      <c r="DQL38" s="1001"/>
      <c r="DQM38" s="1001"/>
      <c r="DQN38" s="1001"/>
      <c r="DQO38" s="1001"/>
      <c r="DQP38" s="1001"/>
      <c r="DQQ38" s="1001"/>
      <c r="DQR38" s="1001"/>
      <c r="DQS38" s="1001"/>
      <c r="DQT38" s="1001"/>
      <c r="DQU38" s="1001"/>
      <c r="DQV38" s="1001"/>
      <c r="DQW38" s="1001"/>
      <c r="DQX38" s="1001"/>
      <c r="DQY38" s="1001"/>
      <c r="DQZ38" s="1001"/>
      <c r="DRA38" s="1001"/>
      <c r="DRB38" s="1001"/>
      <c r="DRC38" s="1001"/>
      <c r="DRD38" s="1001"/>
      <c r="DRE38" s="1001"/>
      <c r="DRF38" s="1001"/>
      <c r="DRG38" s="1001"/>
      <c r="DRH38" s="1001"/>
      <c r="DRI38" s="1001"/>
      <c r="DRJ38" s="1001"/>
      <c r="DRK38" s="1001"/>
      <c r="DRL38" s="1001"/>
      <c r="DRM38" s="1001"/>
      <c r="DRN38" s="1001"/>
      <c r="DRO38" s="1001"/>
      <c r="DRP38" s="1001"/>
      <c r="DRQ38" s="1001"/>
      <c r="DRR38" s="1001"/>
      <c r="DRS38" s="1001"/>
      <c r="DRT38" s="1001"/>
      <c r="DRU38" s="1001"/>
      <c r="DRV38" s="1001"/>
      <c r="DRW38" s="1001"/>
      <c r="DRX38" s="1001"/>
      <c r="DRY38" s="1001"/>
      <c r="DRZ38" s="1001"/>
      <c r="DSA38" s="1001"/>
      <c r="DSB38" s="1001"/>
      <c r="DSC38" s="1001"/>
      <c r="DSD38" s="1001"/>
      <c r="DSE38" s="1001"/>
      <c r="DSF38" s="1001"/>
      <c r="DSG38" s="1001"/>
      <c r="DSH38" s="1001"/>
      <c r="DSI38" s="1001"/>
      <c r="DSJ38" s="1001"/>
      <c r="DSK38" s="1001"/>
      <c r="DSL38" s="1001"/>
      <c r="DSM38" s="1001"/>
      <c r="DSN38" s="1001"/>
      <c r="DSO38" s="1001"/>
      <c r="DSP38" s="1001"/>
      <c r="DSQ38" s="1001"/>
      <c r="DSR38" s="1001"/>
      <c r="DSS38" s="1001"/>
      <c r="DST38" s="1001"/>
      <c r="DSU38" s="1001"/>
      <c r="DSV38" s="1001"/>
      <c r="DSW38" s="1001"/>
      <c r="DSX38" s="1001"/>
      <c r="DSY38" s="1001"/>
      <c r="DSZ38" s="1001"/>
      <c r="DTA38" s="1001"/>
      <c r="DTB38" s="1001"/>
      <c r="DTC38" s="1001"/>
      <c r="DTD38" s="1001"/>
      <c r="DTE38" s="1001"/>
      <c r="DTF38" s="1001"/>
      <c r="DTG38" s="1001"/>
      <c r="DTH38" s="1001"/>
      <c r="DTI38" s="1001"/>
      <c r="DTJ38" s="1001"/>
      <c r="DTK38" s="1001"/>
      <c r="DTL38" s="1001"/>
      <c r="DTM38" s="1001"/>
      <c r="DTN38" s="1001"/>
      <c r="DTO38" s="1001"/>
      <c r="DTP38" s="1001"/>
      <c r="DTQ38" s="1001"/>
      <c r="DTR38" s="1001"/>
      <c r="DTS38" s="1001"/>
      <c r="DTT38" s="1001"/>
      <c r="DTU38" s="1001"/>
      <c r="DTV38" s="1001"/>
      <c r="DTW38" s="1001"/>
      <c r="DTX38" s="1001"/>
      <c r="DTY38" s="1001"/>
      <c r="DTZ38" s="1001"/>
      <c r="DUA38" s="1001"/>
      <c r="DUB38" s="1001"/>
      <c r="DUC38" s="1001"/>
      <c r="DUD38" s="1001"/>
      <c r="DUE38" s="1001"/>
      <c r="DUF38" s="1001"/>
      <c r="DUG38" s="1001"/>
      <c r="DUH38" s="1001"/>
      <c r="DUI38" s="1001"/>
      <c r="DUJ38" s="1001"/>
      <c r="DUK38" s="1001"/>
      <c r="DUL38" s="1001"/>
      <c r="DUM38" s="1001"/>
      <c r="DUN38" s="1001"/>
      <c r="DUO38" s="1001"/>
      <c r="DUP38" s="1001"/>
      <c r="DUQ38" s="1001"/>
      <c r="DUR38" s="1001"/>
      <c r="DUS38" s="1001"/>
      <c r="DUT38" s="1001"/>
      <c r="DUU38" s="1001"/>
      <c r="DUV38" s="1001"/>
      <c r="DUW38" s="1001"/>
      <c r="DUX38" s="1001"/>
      <c r="DUY38" s="1001"/>
      <c r="DUZ38" s="1001"/>
      <c r="DVA38" s="1001"/>
      <c r="DVB38" s="1001"/>
      <c r="DVC38" s="1001"/>
      <c r="DVD38" s="1001"/>
      <c r="DVE38" s="1001"/>
      <c r="DVF38" s="1001"/>
      <c r="DVG38" s="1001"/>
      <c r="DVH38" s="1001"/>
      <c r="DVI38" s="1001"/>
      <c r="DVJ38" s="1001"/>
      <c r="DVK38" s="1001"/>
      <c r="DVL38" s="1001"/>
      <c r="DVM38" s="1001"/>
      <c r="DVN38" s="1001"/>
      <c r="DVO38" s="1001"/>
      <c r="DVP38" s="1001"/>
      <c r="DVQ38" s="1001"/>
      <c r="DVR38" s="1001"/>
      <c r="DVS38" s="1001"/>
      <c r="DVT38" s="1001"/>
      <c r="DVU38" s="1001"/>
      <c r="DVV38" s="1001"/>
      <c r="DVW38" s="1001"/>
      <c r="DVX38" s="1001"/>
      <c r="DVY38" s="1001"/>
      <c r="DVZ38" s="1001"/>
      <c r="DWA38" s="1001"/>
      <c r="DWB38" s="1001"/>
      <c r="DWC38" s="1001"/>
      <c r="DWD38" s="1001"/>
      <c r="DWE38" s="1001"/>
      <c r="DWF38" s="1001"/>
      <c r="DWG38" s="1001"/>
      <c r="DWH38" s="1001"/>
      <c r="DWI38" s="1001"/>
      <c r="DWJ38" s="1001"/>
      <c r="DWK38" s="1001"/>
      <c r="DWL38" s="1001"/>
      <c r="DWM38" s="1001"/>
      <c r="DWN38" s="1001"/>
      <c r="DWO38" s="1001"/>
      <c r="DWP38" s="1001"/>
      <c r="DWQ38" s="1001"/>
      <c r="DWR38" s="1001"/>
      <c r="DWS38" s="1001"/>
      <c r="DWT38" s="1001"/>
      <c r="DWU38" s="1001"/>
      <c r="DWV38" s="1001"/>
      <c r="DWW38" s="1001"/>
      <c r="DWX38" s="1001"/>
      <c r="DWY38" s="1001"/>
      <c r="DWZ38" s="1001"/>
      <c r="DXA38" s="1001"/>
      <c r="DXB38" s="1001"/>
      <c r="DXC38" s="1001"/>
      <c r="DXD38" s="1001"/>
      <c r="DXE38" s="1001"/>
      <c r="DXF38" s="1001"/>
      <c r="DXG38" s="1001"/>
      <c r="DXH38" s="1001"/>
      <c r="DXI38" s="1001"/>
      <c r="DXJ38" s="1001"/>
      <c r="DXK38" s="1001"/>
      <c r="DXL38" s="1001"/>
      <c r="DXM38" s="1001"/>
      <c r="DXN38" s="1001"/>
      <c r="DXO38" s="1001"/>
      <c r="DXP38" s="1001"/>
      <c r="DXQ38" s="1001"/>
      <c r="DXR38" s="1001"/>
      <c r="DXS38" s="1001"/>
      <c r="DXT38" s="1001"/>
      <c r="DXU38" s="1001"/>
      <c r="DXV38" s="1001"/>
      <c r="DXW38" s="1001"/>
      <c r="DXX38" s="1001"/>
      <c r="DXY38" s="1001"/>
      <c r="DXZ38" s="1001"/>
      <c r="DYA38" s="1001"/>
      <c r="DYB38" s="1001"/>
      <c r="DYC38" s="1001"/>
      <c r="DYD38" s="1001"/>
      <c r="DYE38" s="1001"/>
      <c r="DYF38" s="1001"/>
      <c r="DYG38" s="1001"/>
      <c r="DYH38" s="1001"/>
      <c r="DYI38" s="1001"/>
      <c r="DYJ38" s="1001"/>
      <c r="DYK38" s="1001"/>
      <c r="DYL38" s="1001"/>
      <c r="DYM38" s="1001"/>
      <c r="DYN38" s="1001"/>
      <c r="DYO38" s="1001"/>
      <c r="DYP38" s="1001"/>
      <c r="DYQ38" s="1001"/>
      <c r="DYR38" s="1001"/>
      <c r="DYS38" s="1001"/>
      <c r="DYT38" s="1001"/>
      <c r="DYU38" s="1001"/>
      <c r="DYV38" s="1001"/>
      <c r="DYW38" s="1001"/>
      <c r="DYX38" s="1001"/>
      <c r="DYY38" s="1001"/>
      <c r="DYZ38" s="1001"/>
      <c r="DZA38" s="1001"/>
      <c r="DZB38" s="1001"/>
      <c r="DZC38" s="1001"/>
      <c r="DZD38" s="1001"/>
      <c r="DZE38" s="1001"/>
      <c r="DZF38" s="1001"/>
      <c r="DZG38" s="1001"/>
      <c r="DZH38" s="1001"/>
      <c r="DZI38" s="1001"/>
      <c r="DZJ38" s="1001"/>
      <c r="DZK38" s="1001"/>
      <c r="DZL38" s="1001"/>
      <c r="DZM38" s="1001"/>
      <c r="DZN38" s="1001"/>
      <c r="DZO38" s="1001"/>
      <c r="DZP38" s="1001"/>
      <c r="DZQ38" s="1001"/>
      <c r="DZR38" s="1001"/>
      <c r="DZS38" s="1001"/>
      <c r="DZT38" s="1001"/>
      <c r="DZU38" s="1001"/>
      <c r="DZV38" s="1001"/>
      <c r="DZW38" s="1001"/>
      <c r="DZX38" s="1001"/>
      <c r="DZY38" s="1001"/>
      <c r="DZZ38" s="1001"/>
      <c r="EAA38" s="1001"/>
      <c r="EAB38" s="1001"/>
      <c r="EAC38" s="1001"/>
      <c r="EAD38" s="1001"/>
      <c r="EAE38" s="1001"/>
      <c r="EAF38" s="1001"/>
      <c r="EAG38" s="1001"/>
      <c r="EAH38" s="1001"/>
      <c r="EAI38" s="1001"/>
      <c r="EAJ38" s="1001"/>
      <c r="EAK38" s="1001"/>
      <c r="EAL38" s="1001"/>
      <c r="EAM38" s="1001"/>
      <c r="EAN38" s="1001"/>
      <c r="EAO38" s="1001"/>
      <c r="EAP38" s="1001"/>
      <c r="EAQ38" s="1001"/>
      <c r="EAR38" s="1001"/>
      <c r="EAS38" s="1001"/>
      <c r="EAT38" s="1001"/>
      <c r="EAU38" s="1001"/>
      <c r="EAV38" s="1001"/>
      <c r="EAW38" s="1001"/>
      <c r="EAX38" s="1001"/>
      <c r="EAY38" s="1001"/>
      <c r="EAZ38" s="1001"/>
      <c r="EBA38" s="1001"/>
      <c r="EBB38" s="1001"/>
      <c r="EBC38" s="1001"/>
      <c r="EBD38" s="1001"/>
      <c r="EBE38" s="1001"/>
      <c r="EBF38" s="1001"/>
      <c r="EBG38" s="1001"/>
      <c r="EBH38" s="1001"/>
      <c r="EBI38" s="1001"/>
      <c r="EBJ38" s="1001"/>
      <c r="EBK38" s="1001"/>
      <c r="EBL38" s="1001"/>
      <c r="EBM38" s="1001"/>
      <c r="EBN38" s="1001"/>
      <c r="EBO38" s="1001"/>
      <c r="EBP38" s="1001"/>
      <c r="EBQ38" s="1001"/>
      <c r="EBR38" s="1001"/>
      <c r="EBS38" s="1001"/>
      <c r="EBT38" s="1001"/>
      <c r="EBU38" s="1001"/>
      <c r="EBV38" s="1001"/>
      <c r="EBW38" s="1001"/>
      <c r="EBX38" s="1001"/>
      <c r="EBY38" s="1001"/>
      <c r="EBZ38" s="1001"/>
      <c r="ECA38" s="1001"/>
      <c r="ECB38" s="1001"/>
      <c r="ECC38" s="1001"/>
      <c r="ECD38" s="1001"/>
      <c r="ECE38" s="1001"/>
      <c r="ECF38" s="1001"/>
      <c r="ECG38" s="1001"/>
      <c r="ECH38" s="1001"/>
      <c r="ECI38" s="1001"/>
      <c r="ECJ38" s="1001"/>
      <c r="ECK38" s="1001"/>
      <c r="ECL38" s="1001"/>
      <c r="ECM38" s="1001"/>
      <c r="ECN38" s="1001"/>
      <c r="ECO38" s="1001"/>
      <c r="ECP38" s="1001"/>
      <c r="ECQ38" s="1001"/>
      <c r="ECR38" s="1001"/>
      <c r="ECS38" s="1001"/>
      <c r="ECT38" s="1001"/>
      <c r="ECU38" s="1001"/>
      <c r="ECV38" s="1001"/>
      <c r="ECW38" s="1001"/>
      <c r="ECX38" s="1001"/>
      <c r="ECY38" s="1001"/>
      <c r="ECZ38" s="1001"/>
      <c r="EDA38" s="1001"/>
      <c r="EDB38" s="1001"/>
      <c r="EDC38" s="1001"/>
      <c r="EDD38" s="1001"/>
      <c r="EDE38" s="1001"/>
      <c r="EDF38" s="1001"/>
      <c r="EDG38" s="1001"/>
      <c r="EDH38" s="1001"/>
      <c r="EDI38" s="1001"/>
      <c r="EDJ38" s="1001"/>
      <c r="EDK38" s="1001"/>
      <c r="EDL38" s="1001"/>
      <c r="EDM38" s="1001"/>
      <c r="EDN38" s="1001"/>
      <c r="EDO38" s="1001"/>
      <c r="EDP38" s="1001"/>
      <c r="EDQ38" s="1001"/>
      <c r="EDR38" s="1001"/>
      <c r="EDS38" s="1001"/>
      <c r="EDT38" s="1001"/>
      <c r="EDU38" s="1001"/>
      <c r="EDV38" s="1001"/>
      <c r="EDW38" s="1001"/>
      <c r="EDX38" s="1001"/>
      <c r="EDY38" s="1001"/>
      <c r="EDZ38" s="1001"/>
      <c r="EEA38" s="1001"/>
      <c r="EEB38" s="1001"/>
      <c r="EEC38" s="1001"/>
      <c r="EED38" s="1001"/>
      <c r="EEE38" s="1001"/>
      <c r="EEF38" s="1001"/>
      <c r="EEG38" s="1001"/>
      <c r="EEH38" s="1001"/>
      <c r="EEI38" s="1001"/>
      <c r="EEJ38" s="1001"/>
      <c r="EEK38" s="1001"/>
      <c r="EEL38" s="1001"/>
      <c r="EEM38" s="1001"/>
      <c r="EEN38" s="1001"/>
      <c r="EEO38" s="1001"/>
      <c r="EEP38" s="1001"/>
      <c r="EEQ38" s="1001"/>
      <c r="EER38" s="1001"/>
      <c r="EES38" s="1001"/>
      <c r="EET38" s="1001"/>
      <c r="EEU38" s="1001"/>
      <c r="EEV38" s="1001"/>
      <c r="EEW38" s="1001"/>
      <c r="EEX38" s="1001"/>
      <c r="EEY38" s="1001"/>
      <c r="EEZ38" s="1001"/>
      <c r="EFA38" s="1001"/>
      <c r="EFB38" s="1001"/>
      <c r="EFC38" s="1001"/>
      <c r="EFD38" s="1001"/>
      <c r="EFE38" s="1001"/>
      <c r="EFF38" s="1001"/>
      <c r="EFG38" s="1001"/>
      <c r="EFH38" s="1001"/>
      <c r="EFI38" s="1001"/>
      <c r="EFJ38" s="1001"/>
      <c r="EFK38" s="1001"/>
      <c r="EFL38" s="1001"/>
      <c r="EFM38" s="1001"/>
      <c r="EFN38" s="1001"/>
      <c r="EFO38" s="1001"/>
      <c r="EFP38" s="1001"/>
      <c r="EFQ38" s="1001"/>
      <c r="EFR38" s="1001"/>
      <c r="EFS38" s="1001"/>
      <c r="EFT38" s="1001"/>
      <c r="EFU38" s="1001"/>
      <c r="EFV38" s="1001"/>
      <c r="EFW38" s="1001"/>
      <c r="EFX38" s="1001"/>
      <c r="EFY38" s="1001"/>
      <c r="EFZ38" s="1001"/>
      <c r="EGA38" s="1001"/>
      <c r="EGB38" s="1001"/>
      <c r="EGC38" s="1001"/>
      <c r="EGD38" s="1001"/>
      <c r="EGE38" s="1001"/>
      <c r="EGF38" s="1001"/>
      <c r="EGG38" s="1001"/>
      <c r="EGH38" s="1001"/>
      <c r="EGI38" s="1001"/>
      <c r="EGJ38" s="1001"/>
      <c r="EGK38" s="1001"/>
      <c r="EGL38" s="1001"/>
      <c r="EGM38" s="1001"/>
      <c r="EGN38" s="1001"/>
      <c r="EGO38" s="1001"/>
      <c r="EGP38" s="1001"/>
      <c r="EGQ38" s="1001"/>
      <c r="EGR38" s="1001"/>
      <c r="EGS38" s="1001"/>
      <c r="EGT38" s="1001"/>
      <c r="EGU38" s="1001"/>
      <c r="EGV38" s="1001"/>
      <c r="EGW38" s="1001"/>
      <c r="EGX38" s="1001"/>
      <c r="EGY38" s="1001"/>
      <c r="EGZ38" s="1001"/>
      <c r="EHA38" s="1001"/>
      <c r="EHB38" s="1001"/>
      <c r="EHC38" s="1001"/>
      <c r="EHD38" s="1001"/>
      <c r="EHE38" s="1001"/>
      <c r="EHF38" s="1001"/>
      <c r="EHG38" s="1001"/>
      <c r="EHH38" s="1001"/>
      <c r="EHI38" s="1001"/>
      <c r="EHJ38" s="1001"/>
      <c r="EHK38" s="1001"/>
      <c r="EHL38" s="1001"/>
      <c r="EHM38" s="1001"/>
      <c r="EHN38" s="1001"/>
      <c r="EHO38" s="1001"/>
      <c r="EHP38" s="1001"/>
      <c r="EHQ38" s="1001"/>
      <c r="EHR38" s="1001"/>
      <c r="EHS38" s="1001"/>
      <c r="EHT38" s="1001"/>
      <c r="EHU38" s="1001"/>
      <c r="EHV38" s="1001"/>
      <c r="EHW38" s="1001"/>
      <c r="EHX38" s="1001"/>
      <c r="EHY38" s="1001"/>
      <c r="EHZ38" s="1001"/>
      <c r="EIA38" s="1001"/>
      <c r="EIB38" s="1001"/>
      <c r="EIC38" s="1001"/>
      <c r="EID38" s="1001"/>
      <c r="EIE38" s="1001"/>
      <c r="EIF38" s="1001"/>
      <c r="EIG38" s="1001"/>
      <c r="EIH38" s="1001"/>
      <c r="EII38" s="1001"/>
      <c r="EIJ38" s="1001"/>
      <c r="EIK38" s="1001"/>
      <c r="EIL38" s="1001"/>
      <c r="EIM38" s="1001"/>
      <c r="EIN38" s="1001"/>
      <c r="EIO38" s="1001"/>
      <c r="EIP38" s="1001"/>
      <c r="EIQ38" s="1001"/>
      <c r="EIR38" s="1001"/>
      <c r="EIS38" s="1001"/>
      <c r="EIT38" s="1001"/>
      <c r="EIU38" s="1001"/>
      <c r="EIV38" s="1001"/>
      <c r="EIW38" s="1001"/>
      <c r="EIX38" s="1001"/>
      <c r="EIY38" s="1001"/>
      <c r="EIZ38" s="1001"/>
      <c r="EJA38" s="1001"/>
      <c r="EJB38" s="1001"/>
      <c r="EJC38" s="1001"/>
      <c r="EJD38" s="1001"/>
      <c r="EJE38" s="1001"/>
      <c r="EJF38" s="1001"/>
      <c r="EJG38" s="1001"/>
      <c r="EJH38" s="1001"/>
      <c r="EJI38" s="1001"/>
      <c r="EJJ38" s="1001"/>
      <c r="EJK38" s="1001"/>
      <c r="EJL38" s="1001"/>
      <c r="EJM38" s="1001"/>
      <c r="EJN38" s="1001"/>
      <c r="EJO38" s="1001"/>
      <c r="EJP38" s="1001"/>
      <c r="EJQ38" s="1001"/>
      <c r="EJR38" s="1001"/>
      <c r="EJS38" s="1001"/>
      <c r="EJT38" s="1001"/>
      <c r="EJU38" s="1001"/>
      <c r="EJV38" s="1001"/>
      <c r="EJW38" s="1001"/>
      <c r="EJX38" s="1001"/>
      <c r="EJY38" s="1001"/>
      <c r="EJZ38" s="1001"/>
      <c r="EKA38" s="1001"/>
      <c r="EKB38" s="1001"/>
      <c r="EKC38" s="1001"/>
      <c r="EKD38" s="1001"/>
      <c r="EKE38" s="1001"/>
      <c r="EKF38" s="1001"/>
      <c r="EKG38" s="1001"/>
      <c r="EKH38" s="1001"/>
      <c r="EKI38" s="1001"/>
      <c r="EKJ38" s="1001"/>
      <c r="EKK38" s="1001"/>
      <c r="EKL38" s="1001"/>
      <c r="EKM38" s="1001"/>
      <c r="EKN38" s="1001"/>
      <c r="EKO38" s="1001"/>
      <c r="EKP38" s="1001"/>
      <c r="EKQ38" s="1001"/>
      <c r="EKR38" s="1001"/>
      <c r="EKS38" s="1001"/>
      <c r="EKT38" s="1001"/>
      <c r="EKU38" s="1001"/>
      <c r="EKV38" s="1001"/>
      <c r="EKW38" s="1001"/>
      <c r="EKX38" s="1001"/>
      <c r="EKY38" s="1001"/>
      <c r="EKZ38" s="1001"/>
      <c r="ELA38" s="1001"/>
      <c r="ELB38" s="1001"/>
      <c r="ELC38" s="1001"/>
      <c r="ELD38" s="1001"/>
      <c r="ELE38" s="1001"/>
      <c r="ELF38" s="1001"/>
      <c r="ELG38" s="1001"/>
      <c r="ELH38" s="1001"/>
      <c r="ELI38" s="1001"/>
      <c r="ELJ38" s="1001"/>
      <c r="ELK38" s="1001"/>
      <c r="ELL38" s="1001"/>
      <c r="ELM38" s="1001"/>
      <c r="ELN38" s="1001"/>
      <c r="ELO38" s="1001"/>
      <c r="ELP38" s="1001"/>
      <c r="ELQ38" s="1001"/>
      <c r="ELR38" s="1001"/>
      <c r="ELS38" s="1001"/>
      <c r="ELT38" s="1001"/>
      <c r="ELU38" s="1001"/>
      <c r="ELV38" s="1001"/>
      <c r="ELW38" s="1001"/>
      <c r="ELX38" s="1001"/>
      <c r="ELY38" s="1001"/>
      <c r="ELZ38" s="1001"/>
      <c r="EMA38" s="1001"/>
      <c r="EMB38" s="1001"/>
      <c r="EMC38" s="1001"/>
      <c r="EMD38" s="1001"/>
      <c r="EME38" s="1001"/>
      <c r="EMF38" s="1001"/>
      <c r="EMG38" s="1001"/>
      <c r="EMH38" s="1001"/>
      <c r="EMI38" s="1001"/>
      <c r="EMJ38" s="1001"/>
      <c r="EMK38" s="1001"/>
      <c r="EML38" s="1001"/>
      <c r="EMM38" s="1001"/>
      <c r="EMN38" s="1001"/>
      <c r="EMO38" s="1001"/>
      <c r="EMP38" s="1001"/>
      <c r="EMQ38" s="1001"/>
      <c r="EMR38" s="1001"/>
      <c r="EMS38" s="1001"/>
      <c r="EMT38" s="1001"/>
      <c r="EMU38" s="1001"/>
      <c r="EMV38" s="1001"/>
      <c r="EMW38" s="1001"/>
      <c r="EMX38" s="1001"/>
      <c r="EMY38" s="1001"/>
      <c r="EMZ38" s="1001"/>
      <c r="ENA38" s="1001"/>
      <c r="ENB38" s="1001"/>
      <c r="ENC38" s="1001"/>
      <c r="END38" s="1001"/>
      <c r="ENE38" s="1001"/>
      <c r="ENF38" s="1001"/>
      <c r="ENG38" s="1001"/>
      <c r="ENH38" s="1001"/>
      <c r="ENI38" s="1001"/>
      <c r="ENJ38" s="1001"/>
      <c r="ENK38" s="1001"/>
      <c r="ENL38" s="1001"/>
      <c r="ENM38" s="1001"/>
      <c r="ENN38" s="1001"/>
      <c r="ENO38" s="1001"/>
      <c r="ENP38" s="1001"/>
      <c r="ENQ38" s="1001"/>
      <c r="ENR38" s="1001"/>
      <c r="ENS38" s="1001"/>
      <c r="ENT38" s="1001"/>
      <c r="ENU38" s="1001"/>
      <c r="ENV38" s="1001"/>
      <c r="ENW38" s="1001"/>
      <c r="ENX38" s="1001"/>
      <c r="ENY38" s="1001"/>
      <c r="ENZ38" s="1001"/>
      <c r="EOA38" s="1001"/>
      <c r="EOB38" s="1001"/>
      <c r="EOC38" s="1001"/>
      <c r="EOD38" s="1001"/>
      <c r="EOE38" s="1001"/>
      <c r="EOF38" s="1001"/>
      <c r="EOG38" s="1001"/>
      <c r="EOH38" s="1001"/>
      <c r="EOI38" s="1001"/>
      <c r="EOJ38" s="1001"/>
      <c r="EOK38" s="1001"/>
      <c r="EOL38" s="1001"/>
      <c r="EOM38" s="1001"/>
      <c r="EON38" s="1001"/>
      <c r="EOO38" s="1001"/>
      <c r="EOP38" s="1001"/>
      <c r="EOQ38" s="1001"/>
      <c r="EOR38" s="1001"/>
      <c r="EOS38" s="1001"/>
      <c r="EOT38" s="1001"/>
      <c r="EOU38" s="1001"/>
      <c r="EOV38" s="1001"/>
      <c r="EOW38" s="1001"/>
      <c r="EOX38" s="1001"/>
      <c r="EOY38" s="1001"/>
      <c r="EOZ38" s="1001"/>
      <c r="EPA38" s="1001"/>
      <c r="EPB38" s="1001"/>
      <c r="EPC38" s="1001"/>
      <c r="EPD38" s="1001"/>
      <c r="EPE38" s="1001"/>
      <c r="EPF38" s="1001"/>
      <c r="EPG38" s="1001"/>
      <c r="EPH38" s="1001"/>
      <c r="EPI38" s="1001"/>
      <c r="EPJ38" s="1001"/>
      <c r="EPK38" s="1001"/>
      <c r="EPL38" s="1001"/>
      <c r="EPM38" s="1001"/>
      <c r="EPN38" s="1001"/>
      <c r="EPO38" s="1001"/>
      <c r="EPP38" s="1001"/>
      <c r="EPQ38" s="1001"/>
      <c r="EPR38" s="1001"/>
      <c r="EPS38" s="1001"/>
      <c r="EPT38" s="1001"/>
      <c r="EPU38" s="1001"/>
      <c r="EPV38" s="1001"/>
      <c r="EPW38" s="1001"/>
      <c r="EPX38" s="1001"/>
      <c r="EPY38" s="1001"/>
      <c r="EPZ38" s="1001"/>
      <c r="EQA38" s="1001"/>
      <c r="EQB38" s="1001"/>
      <c r="EQC38" s="1001"/>
      <c r="EQD38" s="1001"/>
      <c r="EQE38" s="1001"/>
      <c r="EQF38" s="1001"/>
      <c r="EQG38" s="1001"/>
      <c r="EQH38" s="1001"/>
      <c r="EQI38" s="1001"/>
      <c r="EQJ38" s="1001"/>
      <c r="EQK38" s="1001"/>
      <c r="EQL38" s="1001"/>
      <c r="EQM38" s="1001"/>
      <c r="EQN38" s="1001"/>
      <c r="EQO38" s="1001"/>
      <c r="EQP38" s="1001"/>
      <c r="EQQ38" s="1001"/>
      <c r="EQR38" s="1001"/>
      <c r="EQS38" s="1001"/>
      <c r="EQT38" s="1001"/>
      <c r="EQU38" s="1001"/>
      <c r="EQV38" s="1001"/>
      <c r="EQW38" s="1001"/>
      <c r="EQX38" s="1001"/>
      <c r="EQY38" s="1001"/>
      <c r="EQZ38" s="1001"/>
      <c r="ERA38" s="1001"/>
      <c r="ERB38" s="1001"/>
      <c r="ERC38" s="1001"/>
      <c r="ERD38" s="1001"/>
      <c r="ERE38" s="1001"/>
      <c r="ERF38" s="1001"/>
      <c r="ERG38" s="1001"/>
      <c r="ERH38" s="1001"/>
      <c r="ERI38" s="1001"/>
      <c r="ERJ38" s="1001"/>
      <c r="ERK38" s="1001"/>
      <c r="ERL38" s="1001"/>
      <c r="ERM38" s="1001"/>
      <c r="ERN38" s="1001"/>
      <c r="ERO38" s="1001"/>
      <c r="ERP38" s="1001"/>
      <c r="ERQ38" s="1001"/>
      <c r="ERR38" s="1001"/>
      <c r="ERS38" s="1001"/>
      <c r="ERT38" s="1001"/>
      <c r="ERU38" s="1001"/>
      <c r="ERV38" s="1001"/>
      <c r="ERW38" s="1001"/>
      <c r="ERX38" s="1001"/>
      <c r="ERY38" s="1001"/>
      <c r="ERZ38" s="1001"/>
      <c r="ESA38" s="1001"/>
      <c r="ESB38" s="1001"/>
      <c r="ESC38" s="1001"/>
      <c r="ESD38" s="1001"/>
      <c r="ESE38" s="1001"/>
      <c r="ESF38" s="1001"/>
      <c r="ESG38" s="1001"/>
      <c r="ESH38" s="1001"/>
      <c r="ESI38" s="1001"/>
      <c r="ESJ38" s="1001"/>
      <c r="ESK38" s="1001"/>
      <c r="ESL38" s="1001"/>
      <c r="ESM38" s="1001"/>
      <c r="ESN38" s="1001"/>
      <c r="ESO38" s="1001"/>
      <c r="ESP38" s="1001"/>
      <c r="ESQ38" s="1001"/>
      <c r="ESR38" s="1001"/>
      <c r="ESS38" s="1001"/>
      <c r="EST38" s="1001"/>
      <c r="ESU38" s="1001"/>
      <c r="ESV38" s="1001"/>
      <c r="ESW38" s="1001"/>
      <c r="ESX38" s="1001"/>
      <c r="ESY38" s="1001"/>
      <c r="ESZ38" s="1001"/>
      <c r="ETA38" s="1001"/>
      <c r="ETB38" s="1001"/>
      <c r="ETC38" s="1001"/>
      <c r="ETD38" s="1001"/>
      <c r="ETE38" s="1001"/>
      <c r="ETF38" s="1001"/>
      <c r="ETG38" s="1001"/>
      <c r="ETH38" s="1001"/>
      <c r="ETI38" s="1001"/>
      <c r="ETJ38" s="1001"/>
      <c r="ETK38" s="1001"/>
      <c r="ETL38" s="1001"/>
      <c r="ETM38" s="1001"/>
      <c r="ETN38" s="1001"/>
      <c r="ETO38" s="1001"/>
      <c r="ETP38" s="1001"/>
      <c r="ETQ38" s="1001"/>
      <c r="ETR38" s="1001"/>
      <c r="ETS38" s="1001"/>
      <c r="ETT38" s="1001"/>
      <c r="ETU38" s="1001"/>
      <c r="ETV38" s="1001"/>
      <c r="ETW38" s="1001"/>
      <c r="ETX38" s="1001"/>
      <c r="ETY38" s="1001"/>
      <c r="ETZ38" s="1001"/>
      <c r="EUA38" s="1001"/>
      <c r="EUB38" s="1001"/>
      <c r="EUC38" s="1001"/>
      <c r="EUD38" s="1001"/>
      <c r="EUE38" s="1001"/>
      <c r="EUF38" s="1001"/>
      <c r="EUG38" s="1001"/>
      <c r="EUH38" s="1001"/>
      <c r="EUI38" s="1001"/>
      <c r="EUJ38" s="1001"/>
      <c r="EUK38" s="1001"/>
      <c r="EUL38" s="1001"/>
      <c r="EUM38" s="1001"/>
      <c r="EUN38" s="1001"/>
      <c r="EUO38" s="1001"/>
      <c r="EUP38" s="1001"/>
      <c r="EUQ38" s="1001"/>
      <c r="EUR38" s="1001"/>
      <c r="EUS38" s="1001"/>
      <c r="EUT38" s="1001"/>
      <c r="EUU38" s="1001"/>
      <c r="EUV38" s="1001"/>
      <c r="EUW38" s="1001"/>
      <c r="EUX38" s="1001"/>
      <c r="EUY38" s="1001"/>
      <c r="EUZ38" s="1001"/>
      <c r="EVA38" s="1001"/>
      <c r="EVB38" s="1001"/>
      <c r="EVC38" s="1001"/>
      <c r="EVD38" s="1001"/>
      <c r="EVE38" s="1001"/>
      <c r="EVF38" s="1001"/>
      <c r="EVG38" s="1001"/>
      <c r="EVH38" s="1001"/>
      <c r="EVI38" s="1001"/>
      <c r="EVJ38" s="1001"/>
      <c r="EVK38" s="1001"/>
      <c r="EVL38" s="1001"/>
      <c r="EVM38" s="1001"/>
      <c r="EVN38" s="1001"/>
      <c r="EVO38" s="1001"/>
      <c r="EVP38" s="1001"/>
      <c r="EVQ38" s="1001"/>
      <c r="EVR38" s="1001"/>
      <c r="EVS38" s="1001"/>
      <c r="EVT38" s="1001"/>
      <c r="EVU38" s="1001"/>
      <c r="EVV38" s="1001"/>
      <c r="EVW38" s="1001"/>
      <c r="EVX38" s="1001"/>
      <c r="EVY38" s="1001"/>
      <c r="EVZ38" s="1001"/>
      <c r="EWA38" s="1001"/>
      <c r="EWB38" s="1001"/>
      <c r="EWC38" s="1001"/>
      <c r="EWD38" s="1001"/>
      <c r="EWE38" s="1001"/>
      <c r="EWF38" s="1001"/>
      <c r="EWG38" s="1001"/>
      <c r="EWH38" s="1001"/>
      <c r="EWI38" s="1001"/>
      <c r="EWJ38" s="1001"/>
      <c r="EWK38" s="1001"/>
      <c r="EWL38" s="1001"/>
      <c r="EWM38" s="1001"/>
      <c r="EWN38" s="1001"/>
      <c r="EWO38" s="1001"/>
      <c r="EWP38" s="1001"/>
      <c r="EWQ38" s="1001"/>
      <c r="EWR38" s="1001"/>
      <c r="EWS38" s="1001"/>
      <c r="EWT38" s="1001"/>
      <c r="EWU38" s="1001"/>
      <c r="EWV38" s="1001"/>
      <c r="EWW38" s="1001"/>
      <c r="EWX38" s="1001"/>
      <c r="EWY38" s="1001"/>
      <c r="EWZ38" s="1001"/>
      <c r="EXA38" s="1001"/>
      <c r="EXB38" s="1001"/>
      <c r="EXC38" s="1001"/>
      <c r="EXD38" s="1001"/>
      <c r="EXE38" s="1001"/>
      <c r="EXF38" s="1001"/>
      <c r="EXG38" s="1001"/>
      <c r="EXH38" s="1001"/>
      <c r="EXI38" s="1001"/>
      <c r="EXJ38" s="1001"/>
      <c r="EXK38" s="1001"/>
      <c r="EXL38" s="1001"/>
      <c r="EXM38" s="1001"/>
      <c r="EXN38" s="1001"/>
      <c r="EXO38" s="1001"/>
      <c r="EXP38" s="1001"/>
      <c r="EXQ38" s="1001"/>
      <c r="EXR38" s="1001"/>
      <c r="EXS38" s="1001"/>
      <c r="EXT38" s="1001"/>
      <c r="EXU38" s="1001"/>
      <c r="EXV38" s="1001"/>
      <c r="EXW38" s="1001"/>
      <c r="EXX38" s="1001"/>
      <c r="EXY38" s="1001"/>
      <c r="EXZ38" s="1001"/>
      <c r="EYA38" s="1001"/>
      <c r="EYB38" s="1001"/>
      <c r="EYC38" s="1001"/>
      <c r="EYD38" s="1001"/>
      <c r="EYE38" s="1001"/>
      <c r="EYF38" s="1001"/>
      <c r="EYG38" s="1001"/>
      <c r="EYH38" s="1001"/>
      <c r="EYI38" s="1001"/>
      <c r="EYJ38" s="1001"/>
      <c r="EYK38" s="1001"/>
      <c r="EYL38" s="1001"/>
      <c r="EYM38" s="1001"/>
      <c r="EYN38" s="1001"/>
      <c r="EYO38" s="1001"/>
      <c r="EYP38" s="1001"/>
      <c r="EYQ38" s="1001"/>
      <c r="EYR38" s="1001"/>
      <c r="EYS38" s="1001"/>
      <c r="EYT38" s="1001"/>
      <c r="EYU38" s="1001"/>
      <c r="EYV38" s="1001"/>
      <c r="EYW38" s="1001"/>
      <c r="EYX38" s="1001"/>
      <c r="EYY38" s="1001"/>
      <c r="EYZ38" s="1001"/>
      <c r="EZA38" s="1001"/>
      <c r="EZB38" s="1001"/>
      <c r="EZC38" s="1001"/>
      <c r="EZD38" s="1001"/>
      <c r="EZE38" s="1001"/>
      <c r="EZF38" s="1001"/>
      <c r="EZG38" s="1001"/>
      <c r="EZH38" s="1001"/>
      <c r="EZI38" s="1001"/>
      <c r="EZJ38" s="1001"/>
      <c r="EZK38" s="1001"/>
      <c r="EZL38" s="1001"/>
      <c r="EZM38" s="1001"/>
      <c r="EZN38" s="1001"/>
      <c r="EZO38" s="1001"/>
      <c r="EZP38" s="1001"/>
      <c r="EZQ38" s="1001"/>
      <c r="EZR38" s="1001"/>
      <c r="EZS38" s="1001"/>
      <c r="EZT38" s="1001"/>
      <c r="EZU38" s="1001"/>
      <c r="EZV38" s="1001"/>
      <c r="EZW38" s="1001"/>
      <c r="EZX38" s="1001"/>
      <c r="EZY38" s="1001"/>
      <c r="EZZ38" s="1001"/>
      <c r="FAA38" s="1001"/>
      <c r="FAB38" s="1001"/>
      <c r="FAC38" s="1001"/>
      <c r="FAD38" s="1001"/>
      <c r="FAE38" s="1001"/>
      <c r="FAF38" s="1001"/>
      <c r="FAG38" s="1001"/>
      <c r="FAH38" s="1001"/>
      <c r="FAI38" s="1001"/>
      <c r="FAJ38" s="1001"/>
      <c r="FAK38" s="1001"/>
      <c r="FAL38" s="1001"/>
      <c r="FAM38" s="1001"/>
      <c r="FAN38" s="1001"/>
      <c r="FAO38" s="1001"/>
      <c r="FAP38" s="1001"/>
      <c r="FAQ38" s="1001"/>
      <c r="FAR38" s="1001"/>
      <c r="FAS38" s="1001"/>
      <c r="FAT38" s="1001"/>
      <c r="FAU38" s="1001"/>
      <c r="FAV38" s="1001"/>
      <c r="FAW38" s="1001"/>
      <c r="FAX38" s="1001"/>
      <c r="FAY38" s="1001"/>
      <c r="FAZ38" s="1001"/>
      <c r="FBA38" s="1001"/>
      <c r="FBB38" s="1001"/>
      <c r="FBC38" s="1001"/>
      <c r="FBD38" s="1001"/>
      <c r="FBE38" s="1001"/>
      <c r="FBF38" s="1001"/>
      <c r="FBG38" s="1001"/>
      <c r="FBH38" s="1001"/>
      <c r="FBI38" s="1001"/>
      <c r="FBJ38" s="1001"/>
      <c r="FBK38" s="1001"/>
      <c r="FBL38" s="1001"/>
      <c r="FBM38" s="1001"/>
      <c r="FBN38" s="1001"/>
      <c r="FBO38" s="1001"/>
      <c r="FBP38" s="1001"/>
      <c r="FBQ38" s="1001"/>
      <c r="FBR38" s="1001"/>
      <c r="FBS38" s="1001"/>
      <c r="FBT38" s="1001"/>
      <c r="FBU38" s="1001"/>
      <c r="FBV38" s="1001"/>
      <c r="FBW38" s="1001"/>
      <c r="FBX38" s="1001"/>
      <c r="FBY38" s="1001"/>
      <c r="FBZ38" s="1001"/>
      <c r="FCA38" s="1001"/>
      <c r="FCB38" s="1001"/>
      <c r="FCC38" s="1001"/>
      <c r="FCD38" s="1001"/>
      <c r="FCE38" s="1001"/>
      <c r="FCF38" s="1001"/>
      <c r="FCG38" s="1001"/>
      <c r="FCH38" s="1001"/>
      <c r="FCI38" s="1001"/>
      <c r="FCJ38" s="1001"/>
      <c r="FCK38" s="1001"/>
      <c r="FCL38" s="1001"/>
      <c r="FCM38" s="1001"/>
      <c r="FCN38" s="1001"/>
      <c r="FCO38" s="1001"/>
      <c r="FCP38" s="1001"/>
      <c r="FCQ38" s="1001"/>
      <c r="FCR38" s="1001"/>
      <c r="FCS38" s="1001"/>
      <c r="FCT38" s="1001"/>
      <c r="FCU38" s="1001"/>
      <c r="FCV38" s="1001"/>
      <c r="FCW38" s="1001"/>
      <c r="FCX38" s="1001"/>
      <c r="FCY38" s="1001"/>
      <c r="FCZ38" s="1001"/>
      <c r="FDA38" s="1001"/>
      <c r="FDB38" s="1001"/>
      <c r="FDC38" s="1001"/>
      <c r="FDD38" s="1001"/>
      <c r="FDE38" s="1001"/>
      <c r="FDF38" s="1001"/>
      <c r="FDG38" s="1001"/>
      <c r="FDH38" s="1001"/>
      <c r="FDI38" s="1001"/>
      <c r="FDJ38" s="1001"/>
      <c r="FDK38" s="1001"/>
      <c r="FDL38" s="1001"/>
      <c r="FDM38" s="1001"/>
      <c r="FDN38" s="1001"/>
      <c r="FDO38" s="1001"/>
      <c r="FDP38" s="1001"/>
      <c r="FDQ38" s="1001"/>
      <c r="FDR38" s="1001"/>
      <c r="FDS38" s="1001"/>
      <c r="FDT38" s="1001"/>
      <c r="FDU38" s="1001"/>
      <c r="FDV38" s="1001"/>
      <c r="FDW38" s="1001"/>
      <c r="FDX38" s="1001"/>
      <c r="FDY38" s="1001"/>
      <c r="FDZ38" s="1001"/>
      <c r="FEA38" s="1001"/>
      <c r="FEB38" s="1001"/>
      <c r="FEC38" s="1001"/>
      <c r="FED38" s="1001"/>
      <c r="FEE38" s="1001"/>
      <c r="FEF38" s="1001"/>
      <c r="FEG38" s="1001"/>
      <c r="FEH38" s="1001"/>
      <c r="FEI38" s="1001"/>
      <c r="FEJ38" s="1001"/>
      <c r="FEK38" s="1001"/>
      <c r="FEL38" s="1001"/>
      <c r="FEM38" s="1001"/>
      <c r="FEN38" s="1001"/>
      <c r="FEO38" s="1001"/>
      <c r="FEP38" s="1001"/>
      <c r="FEQ38" s="1001"/>
      <c r="FER38" s="1001"/>
      <c r="FES38" s="1001"/>
      <c r="FET38" s="1001"/>
      <c r="FEU38" s="1001"/>
      <c r="FEV38" s="1001"/>
      <c r="FEW38" s="1001"/>
      <c r="FEX38" s="1001"/>
      <c r="FEY38" s="1001"/>
      <c r="FEZ38" s="1001"/>
      <c r="FFA38" s="1001"/>
      <c r="FFB38" s="1001"/>
      <c r="FFC38" s="1001"/>
      <c r="FFD38" s="1001"/>
      <c r="FFE38" s="1001"/>
      <c r="FFF38" s="1001"/>
      <c r="FFG38" s="1001"/>
      <c r="FFH38" s="1001"/>
      <c r="FFI38" s="1001"/>
      <c r="FFJ38" s="1001"/>
      <c r="FFK38" s="1001"/>
      <c r="FFL38" s="1001"/>
      <c r="FFM38" s="1001"/>
      <c r="FFN38" s="1001"/>
      <c r="FFO38" s="1001"/>
      <c r="FFP38" s="1001"/>
      <c r="FFQ38" s="1001"/>
      <c r="FFR38" s="1001"/>
      <c r="FFS38" s="1001"/>
      <c r="FFT38" s="1001"/>
      <c r="FFU38" s="1001"/>
      <c r="FFV38" s="1001"/>
      <c r="FFW38" s="1001"/>
      <c r="FFX38" s="1001"/>
      <c r="FFY38" s="1001"/>
      <c r="FFZ38" s="1001"/>
      <c r="FGA38" s="1001"/>
      <c r="FGB38" s="1001"/>
      <c r="FGC38" s="1001"/>
      <c r="FGD38" s="1001"/>
      <c r="FGE38" s="1001"/>
      <c r="FGF38" s="1001"/>
      <c r="FGG38" s="1001"/>
      <c r="FGH38" s="1001"/>
      <c r="FGI38" s="1001"/>
      <c r="FGJ38" s="1001"/>
      <c r="FGK38" s="1001"/>
      <c r="FGL38" s="1001"/>
      <c r="FGM38" s="1001"/>
      <c r="FGN38" s="1001"/>
      <c r="FGO38" s="1001"/>
      <c r="FGP38" s="1001"/>
      <c r="FGQ38" s="1001"/>
      <c r="FGR38" s="1001"/>
      <c r="FGS38" s="1001"/>
      <c r="FGT38" s="1001"/>
      <c r="FGU38" s="1001"/>
      <c r="FGV38" s="1001"/>
      <c r="FGW38" s="1001"/>
      <c r="FGX38" s="1001"/>
      <c r="FGY38" s="1001"/>
      <c r="FGZ38" s="1001"/>
      <c r="FHA38" s="1001"/>
      <c r="FHB38" s="1001"/>
      <c r="FHC38" s="1001"/>
      <c r="FHD38" s="1001"/>
      <c r="FHE38" s="1001"/>
      <c r="FHF38" s="1001"/>
      <c r="FHG38" s="1001"/>
      <c r="FHH38" s="1001"/>
      <c r="FHI38" s="1001"/>
      <c r="FHJ38" s="1001"/>
      <c r="FHK38" s="1001"/>
      <c r="FHL38" s="1001"/>
      <c r="FHM38" s="1001"/>
      <c r="FHN38" s="1001"/>
      <c r="FHO38" s="1001"/>
      <c r="FHP38" s="1001"/>
      <c r="FHQ38" s="1001"/>
      <c r="FHR38" s="1001"/>
      <c r="FHS38" s="1001"/>
      <c r="FHT38" s="1001"/>
      <c r="FHU38" s="1001"/>
      <c r="FHV38" s="1001"/>
      <c r="FHW38" s="1001"/>
      <c r="FHX38" s="1001"/>
      <c r="FHY38" s="1001"/>
      <c r="FHZ38" s="1001"/>
      <c r="FIA38" s="1001"/>
      <c r="FIB38" s="1001"/>
      <c r="FIC38" s="1001"/>
      <c r="FID38" s="1001"/>
      <c r="FIE38" s="1001"/>
      <c r="FIF38" s="1001"/>
      <c r="FIG38" s="1001"/>
      <c r="FIH38" s="1001"/>
      <c r="FII38" s="1001"/>
      <c r="FIJ38" s="1001"/>
      <c r="FIK38" s="1001"/>
      <c r="FIL38" s="1001"/>
      <c r="FIM38" s="1001"/>
      <c r="FIN38" s="1001"/>
      <c r="FIO38" s="1001"/>
      <c r="FIP38" s="1001"/>
      <c r="FIQ38" s="1001"/>
      <c r="FIR38" s="1001"/>
      <c r="FIS38" s="1001"/>
      <c r="FIT38" s="1001"/>
      <c r="FIU38" s="1001"/>
      <c r="FIV38" s="1001"/>
      <c r="FIW38" s="1001"/>
      <c r="FIX38" s="1001"/>
      <c r="FIY38" s="1001"/>
      <c r="FIZ38" s="1001"/>
      <c r="FJA38" s="1001"/>
      <c r="FJB38" s="1001"/>
      <c r="FJC38" s="1001"/>
      <c r="FJD38" s="1001"/>
      <c r="FJE38" s="1001"/>
      <c r="FJF38" s="1001"/>
      <c r="FJG38" s="1001"/>
      <c r="FJH38" s="1001"/>
      <c r="FJI38" s="1001"/>
      <c r="FJJ38" s="1001"/>
      <c r="FJK38" s="1001"/>
      <c r="FJL38" s="1001"/>
      <c r="FJM38" s="1001"/>
      <c r="FJN38" s="1001"/>
      <c r="FJO38" s="1001"/>
      <c r="FJP38" s="1001"/>
      <c r="FJQ38" s="1001"/>
      <c r="FJR38" s="1001"/>
      <c r="FJS38" s="1001"/>
      <c r="FJT38" s="1001"/>
      <c r="FJU38" s="1001"/>
      <c r="FJV38" s="1001"/>
      <c r="FJW38" s="1001"/>
      <c r="FJX38" s="1001"/>
      <c r="FJY38" s="1001"/>
      <c r="FJZ38" s="1001"/>
      <c r="FKA38" s="1001"/>
      <c r="FKB38" s="1001"/>
      <c r="FKC38" s="1001"/>
      <c r="FKD38" s="1001"/>
      <c r="FKE38" s="1001"/>
      <c r="FKF38" s="1001"/>
      <c r="FKG38" s="1001"/>
      <c r="FKH38" s="1001"/>
      <c r="FKI38" s="1001"/>
      <c r="FKJ38" s="1001"/>
      <c r="FKK38" s="1001"/>
      <c r="FKL38" s="1001"/>
      <c r="FKM38" s="1001"/>
      <c r="FKN38" s="1001"/>
      <c r="FKO38" s="1001"/>
      <c r="FKP38" s="1001"/>
      <c r="FKQ38" s="1001"/>
      <c r="FKR38" s="1001"/>
      <c r="FKS38" s="1001"/>
      <c r="FKT38" s="1001"/>
      <c r="FKU38" s="1001"/>
      <c r="FKV38" s="1001"/>
      <c r="FKW38" s="1001"/>
      <c r="FKX38" s="1001"/>
      <c r="FKY38" s="1001"/>
      <c r="FKZ38" s="1001"/>
      <c r="FLA38" s="1001"/>
      <c r="FLB38" s="1001"/>
      <c r="FLC38" s="1001"/>
      <c r="FLD38" s="1001"/>
      <c r="FLE38" s="1001"/>
      <c r="FLF38" s="1001"/>
      <c r="FLG38" s="1001"/>
      <c r="FLH38" s="1001"/>
      <c r="FLI38" s="1001"/>
      <c r="FLJ38" s="1001"/>
      <c r="FLK38" s="1001"/>
      <c r="FLL38" s="1001"/>
      <c r="FLM38" s="1001"/>
      <c r="FLN38" s="1001"/>
      <c r="FLO38" s="1001"/>
      <c r="FLP38" s="1001"/>
      <c r="FLQ38" s="1001"/>
      <c r="FLR38" s="1001"/>
      <c r="FLS38" s="1001"/>
      <c r="FLT38" s="1001"/>
      <c r="FLU38" s="1001"/>
      <c r="FLV38" s="1001"/>
      <c r="FLW38" s="1001"/>
      <c r="FLX38" s="1001"/>
      <c r="FLY38" s="1001"/>
      <c r="FLZ38" s="1001"/>
      <c r="FMA38" s="1001"/>
      <c r="FMB38" s="1001"/>
      <c r="FMC38" s="1001"/>
      <c r="FMD38" s="1001"/>
      <c r="FME38" s="1001"/>
      <c r="FMF38" s="1001"/>
      <c r="FMG38" s="1001"/>
      <c r="FMH38" s="1001"/>
      <c r="FMI38" s="1001"/>
      <c r="FMJ38" s="1001"/>
      <c r="FMK38" s="1001"/>
      <c r="FML38" s="1001"/>
      <c r="FMM38" s="1001"/>
      <c r="FMN38" s="1001"/>
      <c r="FMO38" s="1001"/>
      <c r="FMP38" s="1001"/>
      <c r="FMQ38" s="1001"/>
      <c r="FMR38" s="1001"/>
      <c r="FMS38" s="1001"/>
      <c r="FMT38" s="1001"/>
      <c r="FMU38" s="1001"/>
      <c r="FMV38" s="1001"/>
      <c r="FMW38" s="1001"/>
      <c r="FMX38" s="1001"/>
      <c r="FMY38" s="1001"/>
      <c r="FMZ38" s="1001"/>
      <c r="FNA38" s="1001"/>
      <c r="FNB38" s="1001"/>
      <c r="FNC38" s="1001"/>
      <c r="FND38" s="1001"/>
      <c r="FNE38" s="1001"/>
      <c r="FNF38" s="1001"/>
      <c r="FNG38" s="1001"/>
      <c r="FNH38" s="1001"/>
      <c r="FNI38" s="1001"/>
      <c r="FNJ38" s="1001"/>
      <c r="FNK38" s="1001"/>
      <c r="FNL38" s="1001"/>
      <c r="FNM38" s="1001"/>
      <c r="FNN38" s="1001"/>
      <c r="FNO38" s="1001"/>
      <c r="FNP38" s="1001"/>
      <c r="FNQ38" s="1001"/>
      <c r="FNR38" s="1001"/>
      <c r="FNS38" s="1001"/>
      <c r="FNT38" s="1001"/>
      <c r="FNU38" s="1001"/>
      <c r="FNV38" s="1001"/>
      <c r="FNW38" s="1001"/>
      <c r="FNX38" s="1001"/>
      <c r="FNY38" s="1001"/>
      <c r="FNZ38" s="1001"/>
      <c r="FOA38" s="1001"/>
      <c r="FOB38" s="1001"/>
      <c r="FOC38" s="1001"/>
      <c r="FOD38" s="1001"/>
      <c r="FOE38" s="1001"/>
      <c r="FOF38" s="1001"/>
      <c r="FOG38" s="1001"/>
      <c r="FOH38" s="1001"/>
      <c r="FOI38" s="1001"/>
      <c r="FOJ38" s="1001"/>
      <c r="FOK38" s="1001"/>
      <c r="FOL38" s="1001"/>
      <c r="FOM38" s="1001"/>
      <c r="FON38" s="1001"/>
      <c r="FOO38" s="1001"/>
      <c r="FOP38" s="1001"/>
      <c r="FOQ38" s="1001"/>
      <c r="FOR38" s="1001"/>
      <c r="FOS38" s="1001"/>
      <c r="FOT38" s="1001"/>
      <c r="FOU38" s="1001"/>
      <c r="FOV38" s="1001"/>
      <c r="FOW38" s="1001"/>
      <c r="FOX38" s="1001"/>
      <c r="FOY38" s="1001"/>
      <c r="FOZ38" s="1001"/>
      <c r="FPA38" s="1001"/>
      <c r="FPB38" s="1001"/>
      <c r="FPC38" s="1001"/>
      <c r="FPD38" s="1001"/>
      <c r="FPE38" s="1001"/>
      <c r="FPF38" s="1001"/>
      <c r="FPG38" s="1001"/>
      <c r="FPH38" s="1001"/>
      <c r="FPI38" s="1001"/>
      <c r="FPJ38" s="1001"/>
      <c r="FPK38" s="1001"/>
      <c r="FPL38" s="1001"/>
      <c r="FPM38" s="1001"/>
      <c r="FPN38" s="1001"/>
      <c r="FPO38" s="1001"/>
      <c r="FPP38" s="1001"/>
      <c r="FPQ38" s="1001"/>
      <c r="FPR38" s="1001"/>
      <c r="FPS38" s="1001"/>
      <c r="FPT38" s="1001"/>
      <c r="FPU38" s="1001"/>
      <c r="FPV38" s="1001"/>
      <c r="FPW38" s="1001"/>
      <c r="FPX38" s="1001"/>
      <c r="FPY38" s="1001"/>
      <c r="FPZ38" s="1001"/>
      <c r="FQA38" s="1001"/>
      <c r="FQB38" s="1001"/>
      <c r="FQC38" s="1001"/>
      <c r="FQD38" s="1001"/>
      <c r="FQE38" s="1001"/>
      <c r="FQF38" s="1001"/>
      <c r="FQG38" s="1001"/>
      <c r="FQH38" s="1001"/>
      <c r="FQI38" s="1001"/>
      <c r="FQJ38" s="1001"/>
      <c r="FQK38" s="1001"/>
      <c r="FQL38" s="1001"/>
      <c r="FQM38" s="1001"/>
      <c r="FQN38" s="1001"/>
      <c r="FQO38" s="1001"/>
      <c r="FQP38" s="1001"/>
      <c r="FQQ38" s="1001"/>
      <c r="FQR38" s="1001"/>
      <c r="FQS38" s="1001"/>
      <c r="FQT38" s="1001"/>
      <c r="FQU38" s="1001"/>
      <c r="FQV38" s="1001"/>
      <c r="FQW38" s="1001"/>
      <c r="FQX38" s="1001"/>
      <c r="FQY38" s="1001"/>
      <c r="FQZ38" s="1001"/>
      <c r="FRA38" s="1001"/>
      <c r="FRB38" s="1001"/>
      <c r="FRC38" s="1001"/>
      <c r="FRD38" s="1001"/>
      <c r="FRE38" s="1001"/>
      <c r="FRF38" s="1001"/>
      <c r="FRG38" s="1001"/>
      <c r="FRH38" s="1001"/>
      <c r="FRI38" s="1001"/>
      <c r="FRJ38" s="1001"/>
      <c r="FRK38" s="1001"/>
      <c r="FRL38" s="1001"/>
      <c r="FRM38" s="1001"/>
      <c r="FRN38" s="1001"/>
      <c r="FRO38" s="1001"/>
      <c r="FRP38" s="1001"/>
      <c r="FRQ38" s="1001"/>
      <c r="FRR38" s="1001"/>
      <c r="FRS38" s="1001"/>
      <c r="FRT38" s="1001"/>
      <c r="FRU38" s="1001"/>
      <c r="FRV38" s="1001"/>
      <c r="FRW38" s="1001"/>
      <c r="FRX38" s="1001"/>
      <c r="FRY38" s="1001"/>
      <c r="FRZ38" s="1001"/>
      <c r="FSA38" s="1001"/>
      <c r="FSB38" s="1001"/>
      <c r="FSC38" s="1001"/>
      <c r="FSD38" s="1001"/>
      <c r="FSE38" s="1001"/>
      <c r="FSF38" s="1001"/>
      <c r="FSG38" s="1001"/>
      <c r="FSH38" s="1001"/>
      <c r="FSI38" s="1001"/>
      <c r="FSJ38" s="1001"/>
      <c r="FSK38" s="1001"/>
      <c r="FSL38" s="1001"/>
      <c r="FSM38" s="1001"/>
      <c r="FSN38" s="1001"/>
      <c r="FSO38" s="1001"/>
      <c r="FSP38" s="1001"/>
      <c r="FSQ38" s="1001"/>
      <c r="FSR38" s="1001"/>
      <c r="FSS38" s="1001"/>
      <c r="FST38" s="1001"/>
      <c r="FSU38" s="1001"/>
      <c r="FSV38" s="1001"/>
      <c r="FSW38" s="1001"/>
      <c r="FSX38" s="1001"/>
      <c r="FSY38" s="1001"/>
      <c r="FSZ38" s="1001"/>
      <c r="FTA38" s="1001"/>
      <c r="FTB38" s="1001"/>
      <c r="FTC38" s="1001"/>
      <c r="FTD38" s="1001"/>
      <c r="FTE38" s="1001"/>
      <c r="FTF38" s="1001"/>
      <c r="FTG38" s="1001"/>
      <c r="FTH38" s="1001"/>
      <c r="FTI38" s="1001"/>
      <c r="FTJ38" s="1001"/>
      <c r="FTK38" s="1001"/>
      <c r="FTL38" s="1001"/>
      <c r="FTM38" s="1001"/>
      <c r="FTN38" s="1001"/>
      <c r="FTO38" s="1001"/>
      <c r="FTP38" s="1001"/>
      <c r="FTQ38" s="1001"/>
      <c r="FTR38" s="1001"/>
      <c r="FTS38" s="1001"/>
      <c r="FTT38" s="1001"/>
      <c r="FTU38" s="1001"/>
      <c r="FTV38" s="1001"/>
      <c r="FTW38" s="1001"/>
      <c r="FTX38" s="1001"/>
      <c r="FTY38" s="1001"/>
      <c r="FTZ38" s="1001"/>
      <c r="FUA38" s="1001"/>
      <c r="FUB38" s="1001"/>
      <c r="FUC38" s="1001"/>
      <c r="FUD38" s="1001"/>
      <c r="FUE38" s="1001"/>
      <c r="FUF38" s="1001"/>
      <c r="FUG38" s="1001"/>
      <c r="FUH38" s="1001"/>
      <c r="FUI38" s="1001"/>
      <c r="FUJ38" s="1001"/>
      <c r="FUK38" s="1001"/>
      <c r="FUL38" s="1001"/>
      <c r="FUM38" s="1001"/>
      <c r="FUN38" s="1001"/>
      <c r="FUO38" s="1001"/>
      <c r="FUP38" s="1001"/>
      <c r="FUQ38" s="1001"/>
      <c r="FUR38" s="1001"/>
      <c r="FUS38" s="1001"/>
      <c r="FUT38" s="1001"/>
      <c r="FUU38" s="1001"/>
      <c r="FUV38" s="1001"/>
      <c r="FUW38" s="1001"/>
      <c r="FUX38" s="1001"/>
      <c r="FUY38" s="1001"/>
      <c r="FUZ38" s="1001"/>
      <c r="FVA38" s="1001"/>
      <c r="FVB38" s="1001"/>
      <c r="FVC38" s="1001"/>
      <c r="FVD38" s="1001"/>
      <c r="FVE38" s="1001"/>
      <c r="FVF38" s="1001"/>
      <c r="FVG38" s="1001"/>
      <c r="FVH38" s="1001"/>
      <c r="FVI38" s="1001"/>
      <c r="FVJ38" s="1001"/>
      <c r="FVK38" s="1001"/>
      <c r="FVL38" s="1001"/>
      <c r="FVM38" s="1001"/>
      <c r="FVN38" s="1001"/>
      <c r="FVO38" s="1001"/>
      <c r="FVP38" s="1001"/>
      <c r="FVQ38" s="1001"/>
      <c r="FVR38" s="1001"/>
      <c r="FVS38" s="1001"/>
      <c r="FVT38" s="1001"/>
      <c r="FVU38" s="1001"/>
      <c r="FVV38" s="1001"/>
      <c r="FVW38" s="1001"/>
      <c r="FVX38" s="1001"/>
      <c r="FVY38" s="1001"/>
      <c r="FVZ38" s="1001"/>
      <c r="FWA38" s="1001"/>
      <c r="FWB38" s="1001"/>
      <c r="FWC38" s="1001"/>
      <c r="FWD38" s="1001"/>
      <c r="FWE38" s="1001"/>
      <c r="FWF38" s="1001"/>
      <c r="FWG38" s="1001"/>
      <c r="FWH38" s="1001"/>
      <c r="FWI38" s="1001"/>
      <c r="FWJ38" s="1001"/>
      <c r="FWK38" s="1001"/>
      <c r="FWL38" s="1001"/>
      <c r="FWM38" s="1001"/>
      <c r="FWN38" s="1001"/>
      <c r="FWO38" s="1001"/>
      <c r="FWP38" s="1001"/>
      <c r="FWQ38" s="1001"/>
      <c r="FWR38" s="1001"/>
      <c r="FWS38" s="1001"/>
      <c r="FWT38" s="1001"/>
      <c r="FWU38" s="1001"/>
      <c r="FWV38" s="1001"/>
      <c r="FWW38" s="1001"/>
      <c r="FWX38" s="1001"/>
      <c r="FWY38" s="1001"/>
      <c r="FWZ38" s="1001"/>
      <c r="FXA38" s="1001"/>
      <c r="FXB38" s="1001"/>
      <c r="FXC38" s="1001"/>
      <c r="FXD38" s="1001"/>
      <c r="FXE38" s="1001"/>
      <c r="FXF38" s="1001"/>
      <c r="FXG38" s="1001"/>
      <c r="FXH38" s="1001"/>
      <c r="FXI38" s="1001"/>
      <c r="FXJ38" s="1001"/>
      <c r="FXK38" s="1001"/>
      <c r="FXL38" s="1001"/>
      <c r="FXM38" s="1001"/>
      <c r="FXN38" s="1001"/>
      <c r="FXO38" s="1001"/>
      <c r="FXP38" s="1001"/>
      <c r="FXQ38" s="1001"/>
      <c r="FXR38" s="1001"/>
      <c r="FXS38" s="1001"/>
      <c r="FXT38" s="1001"/>
      <c r="FXU38" s="1001"/>
      <c r="FXV38" s="1001"/>
      <c r="FXW38" s="1001"/>
      <c r="FXX38" s="1001"/>
      <c r="FXY38" s="1001"/>
      <c r="FXZ38" s="1001"/>
      <c r="FYA38" s="1001"/>
      <c r="FYB38" s="1001"/>
      <c r="FYC38" s="1001"/>
      <c r="FYD38" s="1001"/>
      <c r="FYE38" s="1001"/>
      <c r="FYF38" s="1001"/>
      <c r="FYG38" s="1001"/>
      <c r="FYH38" s="1001"/>
      <c r="FYI38" s="1001"/>
      <c r="FYJ38" s="1001"/>
      <c r="FYK38" s="1001"/>
      <c r="FYL38" s="1001"/>
      <c r="FYM38" s="1001"/>
      <c r="FYN38" s="1001"/>
      <c r="FYO38" s="1001"/>
      <c r="FYP38" s="1001"/>
      <c r="FYQ38" s="1001"/>
      <c r="FYR38" s="1001"/>
      <c r="FYS38" s="1001"/>
      <c r="FYT38" s="1001"/>
      <c r="FYU38" s="1001"/>
      <c r="FYV38" s="1001"/>
      <c r="FYW38" s="1001"/>
      <c r="FYX38" s="1001"/>
      <c r="FYY38" s="1001"/>
      <c r="FYZ38" s="1001"/>
      <c r="FZA38" s="1001"/>
      <c r="FZB38" s="1001"/>
      <c r="FZC38" s="1001"/>
      <c r="FZD38" s="1001"/>
      <c r="FZE38" s="1001"/>
      <c r="FZF38" s="1001"/>
      <c r="FZG38" s="1001"/>
      <c r="FZH38" s="1001"/>
      <c r="FZI38" s="1001"/>
      <c r="FZJ38" s="1001"/>
      <c r="FZK38" s="1001"/>
      <c r="FZL38" s="1001"/>
      <c r="FZM38" s="1001"/>
      <c r="FZN38" s="1001"/>
      <c r="FZO38" s="1001"/>
      <c r="FZP38" s="1001"/>
      <c r="FZQ38" s="1001"/>
      <c r="FZR38" s="1001"/>
      <c r="FZS38" s="1001"/>
      <c r="FZT38" s="1001"/>
      <c r="FZU38" s="1001"/>
      <c r="FZV38" s="1001"/>
      <c r="FZW38" s="1001"/>
      <c r="FZX38" s="1001"/>
      <c r="FZY38" s="1001"/>
      <c r="FZZ38" s="1001"/>
      <c r="GAA38" s="1001"/>
      <c r="GAB38" s="1001"/>
      <c r="GAC38" s="1001"/>
      <c r="GAD38" s="1001"/>
      <c r="GAE38" s="1001"/>
      <c r="GAF38" s="1001"/>
      <c r="GAG38" s="1001"/>
      <c r="GAH38" s="1001"/>
      <c r="GAI38" s="1001"/>
      <c r="GAJ38" s="1001"/>
      <c r="GAK38" s="1001"/>
      <c r="GAL38" s="1001"/>
      <c r="GAM38" s="1001"/>
      <c r="GAN38" s="1001"/>
      <c r="GAO38" s="1001"/>
      <c r="GAP38" s="1001"/>
      <c r="GAQ38" s="1001"/>
      <c r="GAR38" s="1001"/>
      <c r="GAS38" s="1001"/>
      <c r="GAT38" s="1001"/>
      <c r="GAU38" s="1001"/>
      <c r="GAV38" s="1001"/>
      <c r="GAW38" s="1001"/>
      <c r="GAX38" s="1001"/>
      <c r="GAY38" s="1001"/>
      <c r="GAZ38" s="1001"/>
      <c r="GBA38" s="1001"/>
      <c r="GBB38" s="1001"/>
      <c r="GBC38" s="1001"/>
      <c r="GBD38" s="1001"/>
      <c r="GBE38" s="1001"/>
      <c r="GBF38" s="1001"/>
      <c r="GBG38" s="1001"/>
      <c r="GBH38" s="1001"/>
      <c r="GBI38" s="1001"/>
      <c r="GBJ38" s="1001"/>
      <c r="GBK38" s="1001"/>
      <c r="GBL38" s="1001"/>
      <c r="GBM38" s="1001"/>
      <c r="GBN38" s="1001"/>
      <c r="GBO38" s="1001"/>
      <c r="GBP38" s="1001"/>
      <c r="GBQ38" s="1001"/>
      <c r="GBR38" s="1001"/>
      <c r="GBS38" s="1001"/>
      <c r="GBT38" s="1001"/>
      <c r="GBU38" s="1001"/>
      <c r="GBV38" s="1001"/>
      <c r="GBW38" s="1001"/>
      <c r="GBX38" s="1001"/>
      <c r="GBY38" s="1001"/>
      <c r="GBZ38" s="1001"/>
      <c r="GCA38" s="1001"/>
      <c r="GCB38" s="1001"/>
      <c r="GCC38" s="1001"/>
      <c r="GCD38" s="1001"/>
      <c r="GCE38" s="1001"/>
      <c r="GCF38" s="1001"/>
      <c r="GCG38" s="1001"/>
      <c r="GCH38" s="1001"/>
      <c r="GCI38" s="1001"/>
      <c r="GCJ38" s="1001"/>
      <c r="GCK38" s="1001"/>
      <c r="GCL38" s="1001"/>
      <c r="GCM38" s="1001"/>
      <c r="GCN38" s="1001"/>
      <c r="GCO38" s="1001"/>
      <c r="GCP38" s="1001"/>
      <c r="GCQ38" s="1001"/>
      <c r="GCR38" s="1001"/>
      <c r="GCS38" s="1001"/>
      <c r="GCT38" s="1001"/>
      <c r="GCU38" s="1001"/>
      <c r="GCV38" s="1001"/>
      <c r="GCW38" s="1001"/>
      <c r="GCX38" s="1001"/>
      <c r="GCY38" s="1001"/>
      <c r="GCZ38" s="1001"/>
      <c r="GDA38" s="1001"/>
      <c r="GDB38" s="1001"/>
      <c r="GDC38" s="1001"/>
      <c r="GDD38" s="1001"/>
      <c r="GDE38" s="1001"/>
      <c r="GDF38" s="1001"/>
      <c r="GDG38" s="1001"/>
      <c r="GDH38" s="1001"/>
      <c r="GDI38" s="1001"/>
      <c r="GDJ38" s="1001"/>
      <c r="GDK38" s="1001"/>
      <c r="GDL38" s="1001"/>
      <c r="GDM38" s="1001"/>
      <c r="GDN38" s="1001"/>
      <c r="GDO38" s="1001"/>
      <c r="GDP38" s="1001"/>
      <c r="GDQ38" s="1001"/>
      <c r="GDR38" s="1001"/>
      <c r="GDS38" s="1001"/>
      <c r="GDT38" s="1001"/>
      <c r="GDU38" s="1001"/>
      <c r="GDV38" s="1001"/>
      <c r="GDW38" s="1001"/>
      <c r="GDX38" s="1001"/>
      <c r="GDY38" s="1001"/>
      <c r="GDZ38" s="1001"/>
      <c r="GEA38" s="1001"/>
      <c r="GEB38" s="1001"/>
      <c r="GEC38" s="1001"/>
      <c r="GED38" s="1001"/>
      <c r="GEE38" s="1001"/>
      <c r="GEF38" s="1001"/>
      <c r="GEG38" s="1001"/>
      <c r="GEH38" s="1001"/>
      <c r="GEI38" s="1001"/>
      <c r="GEJ38" s="1001"/>
      <c r="GEK38" s="1001"/>
      <c r="GEL38" s="1001"/>
      <c r="GEM38" s="1001"/>
      <c r="GEN38" s="1001"/>
      <c r="GEO38" s="1001"/>
      <c r="GEP38" s="1001"/>
      <c r="GEQ38" s="1001"/>
      <c r="GER38" s="1001"/>
      <c r="GES38" s="1001"/>
      <c r="GET38" s="1001"/>
      <c r="GEU38" s="1001"/>
      <c r="GEV38" s="1001"/>
      <c r="GEW38" s="1001"/>
      <c r="GEX38" s="1001"/>
      <c r="GEY38" s="1001"/>
      <c r="GEZ38" s="1001"/>
      <c r="GFA38" s="1001"/>
      <c r="GFB38" s="1001"/>
      <c r="GFC38" s="1001"/>
      <c r="GFD38" s="1001"/>
      <c r="GFE38" s="1001"/>
      <c r="GFF38" s="1001"/>
      <c r="GFG38" s="1001"/>
      <c r="GFH38" s="1001"/>
      <c r="GFI38" s="1001"/>
      <c r="GFJ38" s="1001"/>
      <c r="GFK38" s="1001"/>
      <c r="GFL38" s="1001"/>
      <c r="GFM38" s="1001"/>
      <c r="GFN38" s="1001"/>
      <c r="GFO38" s="1001"/>
      <c r="GFP38" s="1001"/>
      <c r="GFQ38" s="1001"/>
      <c r="GFR38" s="1001"/>
      <c r="GFS38" s="1001"/>
      <c r="GFT38" s="1001"/>
      <c r="GFU38" s="1001"/>
      <c r="GFV38" s="1001"/>
      <c r="GFW38" s="1001"/>
      <c r="GFX38" s="1001"/>
      <c r="GFY38" s="1001"/>
      <c r="GFZ38" s="1001"/>
      <c r="GGA38" s="1001"/>
      <c r="GGB38" s="1001"/>
      <c r="GGC38" s="1001"/>
      <c r="GGD38" s="1001"/>
      <c r="GGE38" s="1001"/>
      <c r="GGF38" s="1001"/>
      <c r="GGG38" s="1001"/>
      <c r="GGH38" s="1001"/>
      <c r="GGI38" s="1001"/>
      <c r="GGJ38" s="1001"/>
      <c r="GGK38" s="1001"/>
      <c r="GGL38" s="1001"/>
      <c r="GGM38" s="1001"/>
      <c r="GGN38" s="1001"/>
      <c r="GGO38" s="1001"/>
      <c r="GGP38" s="1001"/>
      <c r="GGQ38" s="1001"/>
      <c r="GGR38" s="1001"/>
      <c r="GGS38" s="1001"/>
      <c r="GGT38" s="1001"/>
      <c r="GGU38" s="1001"/>
      <c r="GGV38" s="1001"/>
      <c r="GGW38" s="1001"/>
      <c r="GGX38" s="1001"/>
      <c r="GGY38" s="1001"/>
      <c r="GGZ38" s="1001"/>
      <c r="GHA38" s="1001"/>
      <c r="GHB38" s="1001"/>
      <c r="GHC38" s="1001"/>
      <c r="GHD38" s="1001"/>
      <c r="GHE38" s="1001"/>
      <c r="GHF38" s="1001"/>
      <c r="GHG38" s="1001"/>
      <c r="GHH38" s="1001"/>
      <c r="GHI38" s="1001"/>
      <c r="GHJ38" s="1001"/>
      <c r="GHK38" s="1001"/>
      <c r="GHL38" s="1001"/>
      <c r="GHM38" s="1001"/>
      <c r="GHN38" s="1001"/>
      <c r="GHO38" s="1001"/>
      <c r="GHP38" s="1001"/>
      <c r="GHQ38" s="1001"/>
      <c r="GHR38" s="1001"/>
      <c r="GHS38" s="1001"/>
      <c r="GHT38" s="1001"/>
      <c r="GHU38" s="1001"/>
      <c r="GHV38" s="1001"/>
      <c r="GHW38" s="1001"/>
      <c r="GHX38" s="1001"/>
      <c r="GHY38" s="1001"/>
      <c r="GHZ38" s="1001"/>
      <c r="GIA38" s="1001"/>
      <c r="GIB38" s="1001"/>
      <c r="GIC38" s="1001"/>
      <c r="GID38" s="1001"/>
      <c r="GIE38" s="1001"/>
      <c r="GIF38" s="1001"/>
      <c r="GIG38" s="1001"/>
      <c r="GIH38" s="1001"/>
      <c r="GII38" s="1001"/>
      <c r="GIJ38" s="1001"/>
      <c r="GIK38" s="1001"/>
      <c r="GIL38" s="1001"/>
      <c r="GIM38" s="1001"/>
      <c r="GIN38" s="1001"/>
      <c r="GIO38" s="1001"/>
      <c r="GIP38" s="1001"/>
      <c r="GIQ38" s="1001"/>
      <c r="GIR38" s="1001"/>
      <c r="GIS38" s="1001"/>
      <c r="GIT38" s="1001"/>
      <c r="GIU38" s="1001"/>
      <c r="GIV38" s="1001"/>
      <c r="GIW38" s="1001"/>
      <c r="GIX38" s="1001"/>
      <c r="GIY38" s="1001"/>
      <c r="GIZ38" s="1001"/>
      <c r="GJA38" s="1001"/>
      <c r="GJB38" s="1001"/>
      <c r="GJC38" s="1001"/>
      <c r="GJD38" s="1001"/>
      <c r="GJE38" s="1001"/>
      <c r="GJF38" s="1001"/>
      <c r="GJG38" s="1001"/>
      <c r="GJH38" s="1001"/>
      <c r="GJI38" s="1001"/>
      <c r="GJJ38" s="1001"/>
      <c r="GJK38" s="1001"/>
      <c r="GJL38" s="1001"/>
      <c r="GJM38" s="1001"/>
      <c r="GJN38" s="1001"/>
      <c r="GJO38" s="1001"/>
      <c r="GJP38" s="1001"/>
      <c r="GJQ38" s="1001"/>
      <c r="GJR38" s="1001"/>
      <c r="GJS38" s="1001"/>
      <c r="GJT38" s="1001"/>
      <c r="GJU38" s="1001"/>
      <c r="GJV38" s="1001"/>
      <c r="GJW38" s="1001"/>
      <c r="GJX38" s="1001"/>
      <c r="GJY38" s="1001"/>
      <c r="GJZ38" s="1001"/>
      <c r="GKA38" s="1001"/>
      <c r="GKB38" s="1001"/>
      <c r="GKC38" s="1001"/>
      <c r="GKD38" s="1001"/>
      <c r="GKE38" s="1001"/>
      <c r="GKF38" s="1001"/>
      <c r="GKG38" s="1001"/>
      <c r="GKH38" s="1001"/>
      <c r="GKI38" s="1001"/>
      <c r="GKJ38" s="1001"/>
      <c r="GKK38" s="1001"/>
      <c r="GKL38" s="1001"/>
      <c r="GKM38" s="1001"/>
      <c r="GKN38" s="1001"/>
      <c r="GKO38" s="1001"/>
      <c r="GKP38" s="1001"/>
      <c r="GKQ38" s="1001"/>
      <c r="GKR38" s="1001"/>
      <c r="GKS38" s="1001"/>
      <c r="GKT38" s="1001"/>
      <c r="GKU38" s="1001"/>
      <c r="GKV38" s="1001"/>
      <c r="GKW38" s="1001"/>
      <c r="GKX38" s="1001"/>
      <c r="GKY38" s="1001"/>
      <c r="GKZ38" s="1001"/>
      <c r="GLA38" s="1001"/>
      <c r="GLB38" s="1001"/>
      <c r="GLC38" s="1001"/>
      <c r="GLD38" s="1001"/>
      <c r="GLE38" s="1001"/>
      <c r="GLF38" s="1001"/>
      <c r="GLG38" s="1001"/>
      <c r="GLH38" s="1001"/>
      <c r="GLI38" s="1001"/>
      <c r="GLJ38" s="1001"/>
      <c r="GLK38" s="1001"/>
      <c r="GLL38" s="1001"/>
      <c r="GLM38" s="1001"/>
      <c r="GLN38" s="1001"/>
      <c r="GLO38" s="1001"/>
      <c r="GLP38" s="1001"/>
      <c r="GLQ38" s="1001"/>
      <c r="GLR38" s="1001"/>
      <c r="GLS38" s="1001"/>
      <c r="GLT38" s="1001"/>
      <c r="GLU38" s="1001"/>
      <c r="GLV38" s="1001"/>
      <c r="GLW38" s="1001"/>
      <c r="GLX38" s="1001"/>
      <c r="GLY38" s="1001"/>
      <c r="GLZ38" s="1001"/>
      <c r="GMA38" s="1001"/>
      <c r="GMB38" s="1001"/>
      <c r="GMC38" s="1001"/>
      <c r="GMD38" s="1001"/>
      <c r="GME38" s="1001"/>
      <c r="GMF38" s="1001"/>
      <c r="GMG38" s="1001"/>
      <c r="GMH38" s="1001"/>
      <c r="GMI38" s="1001"/>
      <c r="GMJ38" s="1001"/>
      <c r="GMK38" s="1001"/>
      <c r="GML38" s="1001"/>
      <c r="GMM38" s="1001"/>
      <c r="GMN38" s="1001"/>
      <c r="GMO38" s="1001"/>
      <c r="GMP38" s="1001"/>
      <c r="GMQ38" s="1001"/>
      <c r="GMR38" s="1001"/>
      <c r="GMS38" s="1001"/>
      <c r="GMT38" s="1001"/>
      <c r="GMU38" s="1001"/>
      <c r="GMV38" s="1001"/>
      <c r="GMW38" s="1001"/>
      <c r="GMX38" s="1001"/>
      <c r="GMY38" s="1001"/>
      <c r="GMZ38" s="1001"/>
      <c r="GNA38" s="1001"/>
      <c r="GNB38" s="1001"/>
      <c r="GNC38" s="1001"/>
      <c r="GND38" s="1001"/>
      <c r="GNE38" s="1001"/>
      <c r="GNF38" s="1001"/>
      <c r="GNG38" s="1001"/>
      <c r="GNH38" s="1001"/>
      <c r="GNI38" s="1001"/>
      <c r="GNJ38" s="1001"/>
      <c r="GNK38" s="1001"/>
      <c r="GNL38" s="1001"/>
      <c r="GNM38" s="1001"/>
      <c r="GNN38" s="1001"/>
      <c r="GNO38" s="1001"/>
      <c r="GNP38" s="1001"/>
      <c r="GNQ38" s="1001"/>
      <c r="GNR38" s="1001"/>
      <c r="GNS38" s="1001"/>
      <c r="GNT38" s="1001"/>
      <c r="GNU38" s="1001"/>
      <c r="GNV38" s="1001"/>
      <c r="GNW38" s="1001"/>
      <c r="GNX38" s="1001"/>
      <c r="GNY38" s="1001"/>
      <c r="GNZ38" s="1001"/>
      <c r="GOA38" s="1001"/>
      <c r="GOB38" s="1001"/>
      <c r="GOC38" s="1001"/>
      <c r="GOD38" s="1001"/>
      <c r="GOE38" s="1001"/>
      <c r="GOF38" s="1001"/>
      <c r="GOG38" s="1001"/>
      <c r="GOH38" s="1001"/>
      <c r="GOI38" s="1001"/>
      <c r="GOJ38" s="1001"/>
      <c r="GOK38" s="1001"/>
      <c r="GOL38" s="1001"/>
      <c r="GOM38" s="1001"/>
      <c r="GON38" s="1001"/>
      <c r="GOO38" s="1001"/>
      <c r="GOP38" s="1001"/>
      <c r="GOQ38" s="1001"/>
      <c r="GOR38" s="1001"/>
      <c r="GOS38" s="1001"/>
      <c r="GOT38" s="1001"/>
      <c r="GOU38" s="1001"/>
      <c r="GOV38" s="1001"/>
      <c r="GOW38" s="1001"/>
      <c r="GOX38" s="1001"/>
      <c r="GOY38" s="1001"/>
      <c r="GOZ38" s="1001"/>
      <c r="GPA38" s="1001"/>
      <c r="GPB38" s="1001"/>
      <c r="GPC38" s="1001"/>
      <c r="GPD38" s="1001"/>
      <c r="GPE38" s="1001"/>
      <c r="GPF38" s="1001"/>
      <c r="GPG38" s="1001"/>
      <c r="GPH38" s="1001"/>
      <c r="GPI38" s="1001"/>
      <c r="GPJ38" s="1001"/>
      <c r="GPK38" s="1001"/>
      <c r="GPL38" s="1001"/>
      <c r="GPM38" s="1001"/>
      <c r="GPN38" s="1001"/>
      <c r="GPO38" s="1001"/>
      <c r="GPP38" s="1001"/>
      <c r="GPQ38" s="1001"/>
      <c r="GPR38" s="1001"/>
      <c r="GPS38" s="1001"/>
      <c r="GPT38" s="1001"/>
      <c r="GPU38" s="1001"/>
      <c r="GPV38" s="1001"/>
      <c r="GPW38" s="1001"/>
      <c r="GPX38" s="1001"/>
      <c r="GPY38" s="1001"/>
      <c r="GPZ38" s="1001"/>
      <c r="GQA38" s="1001"/>
      <c r="GQB38" s="1001"/>
      <c r="GQC38" s="1001"/>
      <c r="GQD38" s="1001"/>
      <c r="GQE38" s="1001"/>
      <c r="GQF38" s="1001"/>
      <c r="GQG38" s="1001"/>
      <c r="GQH38" s="1001"/>
      <c r="GQI38" s="1001"/>
      <c r="GQJ38" s="1001"/>
      <c r="GQK38" s="1001"/>
      <c r="GQL38" s="1001"/>
      <c r="GQM38" s="1001"/>
      <c r="GQN38" s="1001"/>
      <c r="GQO38" s="1001"/>
      <c r="GQP38" s="1001"/>
      <c r="GQQ38" s="1001"/>
      <c r="GQR38" s="1001"/>
      <c r="GQS38" s="1001"/>
      <c r="GQT38" s="1001"/>
      <c r="GQU38" s="1001"/>
      <c r="GQV38" s="1001"/>
      <c r="GQW38" s="1001"/>
      <c r="GQX38" s="1001"/>
      <c r="GQY38" s="1001"/>
      <c r="GQZ38" s="1001"/>
      <c r="GRA38" s="1001"/>
      <c r="GRB38" s="1001"/>
      <c r="GRC38" s="1001"/>
      <c r="GRD38" s="1001"/>
      <c r="GRE38" s="1001"/>
      <c r="GRF38" s="1001"/>
      <c r="GRG38" s="1001"/>
      <c r="GRH38" s="1001"/>
      <c r="GRI38" s="1001"/>
      <c r="GRJ38" s="1001"/>
      <c r="GRK38" s="1001"/>
      <c r="GRL38" s="1001"/>
      <c r="GRM38" s="1001"/>
      <c r="GRN38" s="1001"/>
      <c r="GRO38" s="1001"/>
      <c r="GRP38" s="1001"/>
      <c r="GRQ38" s="1001"/>
      <c r="GRR38" s="1001"/>
      <c r="GRS38" s="1001"/>
      <c r="GRT38" s="1001"/>
      <c r="GRU38" s="1001"/>
      <c r="GRV38" s="1001"/>
      <c r="GRW38" s="1001"/>
      <c r="GRX38" s="1001"/>
      <c r="GRY38" s="1001"/>
      <c r="GRZ38" s="1001"/>
      <c r="GSA38" s="1001"/>
      <c r="GSB38" s="1001"/>
      <c r="GSC38" s="1001"/>
      <c r="GSD38" s="1001"/>
      <c r="GSE38" s="1001"/>
      <c r="GSF38" s="1001"/>
      <c r="GSG38" s="1001"/>
      <c r="GSH38" s="1001"/>
      <c r="GSI38" s="1001"/>
      <c r="GSJ38" s="1001"/>
      <c r="GSK38" s="1001"/>
      <c r="GSL38" s="1001"/>
      <c r="GSM38" s="1001"/>
      <c r="GSN38" s="1001"/>
      <c r="GSO38" s="1001"/>
      <c r="GSP38" s="1001"/>
      <c r="GSQ38" s="1001"/>
      <c r="GSR38" s="1001"/>
      <c r="GSS38" s="1001"/>
      <c r="GST38" s="1001"/>
      <c r="GSU38" s="1001"/>
      <c r="GSV38" s="1001"/>
      <c r="GSW38" s="1001"/>
      <c r="GSX38" s="1001"/>
      <c r="GSY38" s="1001"/>
      <c r="GSZ38" s="1001"/>
      <c r="GTA38" s="1001"/>
      <c r="GTB38" s="1001"/>
      <c r="GTC38" s="1001"/>
      <c r="GTD38" s="1001"/>
      <c r="GTE38" s="1001"/>
      <c r="GTF38" s="1001"/>
      <c r="GTG38" s="1001"/>
      <c r="GTH38" s="1001"/>
      <c r="GTI38" s="1001"/>
      <c r="GTJ38" s="1001"/>
      <c r="GTK38" s="1001"/>
      <c r="GTL38" s="1001"/>
      <c r="GTM38" s="1001"/>
      <c r="GTN38" s="1001"/>
      <c r="GTO38" s="1001"/>
      <c r="GTP38" s="1001"/>
      <c r="GTQ38" s="1001"/>
      <c r="GTR38" s="1001"/>
      <c r="GTS38" s="1001"/>
      <c r="GTT38" s="1001"/>
      <c r="GTU38" s="1001"/>
      <c r="GTV38" s="1001"/>
      <c r="GTW38" s="1001"/>
      <c r="GTX38" s="1001"/>
      <c r="GTY38" s="1001"/>
      <c r="GTZ38" s="1001"/>
      <c r="GUA38" s="1001"/>
      <c r="GUB38" s="1001"/>
      <c r="GUC38" s="1001"/>
      <c r="GUD38" s="1001"/>
      <c r="GUE38" s="1001"/>
      <c r="GUF38" s="1001"/>
      <c r="GUG38" s="1001"/>
      <c r="GUH38" s="1001"/>
      <c r="GUI38" s="1001"/>
      <c r="GUJ38" s="1001"/>
      <c r="GUK38" s="1001"/>
      <c r="GUL38" s="1001"/>
      <c r="GUM38" s="1001"/>
      <c r="GUN38" s="1001"/>
      <c r="GUO38" s="1001"/>
      <c r="GUP38" s="1001"/>
      <c r="GUQ38" s="1001"/>
      <c r="GUR38" s="1001"/>
      <c r="GUS38" s="1001"/>
      <c r="GUT38" s="1001"/>
      <c r="GUU38" s="1001"/>
      <c r="GUV38" s="1001"/>
      <c r="GUW38" s="1001"/>
      <c r="GUX38" s="1001"/>
      <c r="GUY38" s="1001"/>
      <c r="GUZ38" s="1001"/>
      <c r="GVA38" s="1001"/>
      <c r="GVB38" s="1001"/>
      <c r="GVC38" s="1001"/>
      <c r="GVD38" s="1001"/>
      <c r="GVE38" s="1001"/>
      <c r="GVF38" s="1001"/>
      <c r="GVG38" s="1001"/>
      <c r="GVH38" s="1001"/>
      <c r="GVI38" s="1001"/>
      <c r="GVJ38" s="1001"/>
      <c r="GVK38" s="1001"/>
      <c r="GVL38" s="1001"/>
      <c r="GVM38" s="1001"/>
      <c r="GVN38" s="1001"/>
      <c r="GVO38" s="1001"/>
      <c r="GVP38" s="1001"/>
      <c r="GVQ38" s="1001"/>
      <c r="GVR38" s="1001"/>
      <c r="GVS38" s="1001"/>
      <c r="GVT38" s="1001"/>
      <c r="GVU38" s="1001"/>
      <c r="GVV38" s="1001"/>
      <c r="GVW38" s="1001"/>
      <c r="GVX38" s="1001"/>
      <c r="GVY38" s="1001"/>
      <c r="GVZ38" s="1001"/>
      <c r="GWA38" s="1001"/>
      <c r="GWB38" s="1001"/>
      <c r="GWC38" s="1001"/>
      <c r="GWD38" s="1001"/>
      <c r="GWE38" s="1001"/>
      <c r="GWF38" s="1001"/>
      <c r="GWG38" s="1001"/>
      <c r="GWH38" s="1001"/>
      <c r="GWI38" s="1001"/>
      <c r="GWJ38" s="1001"/>
      <c r="GWK38" s="1001"/>
      <c r="GWL38" s="1001"/>
      <c r="GWM38" s="1001"/>
      <c r="GWN38" s="1001"/>
      <c r="GWO38" s="1001"/>
      <c r="GWP38" s="1001"/>
      <c r="GWQ38" s="1001"/>
      <c r="GWR38" s="1001"/>
      <c r="GWS38" s="1001"/>
      <c r="GWT38" s="1001"/>
      <c r="GWU38" s="1001"/>
      <c r="GWV38" s="1001"/>
      <c r="GWW38" s="1001"/>
      <c r="GWX38" s="1001"/>
      <c r="GWY38" s="1001"/>
      <c r="GWZ38" s="1001"/>
      <c r="GXA38" s="1001"/>
      <c r="GXB38" s="1001"/>
      <c r="GXC38" s="1001"/>
      <c r="GXD38" s="1001"/>
      <c r="GXE38" s="1001"/>
      <c r="GXF38" s="1001"/>
      <c r="GXG38" s="1001"/>
      <c r="GXH38" s="1001"/>
      <c r="GXI38" s="1001"/>
      <c r="GXJ38" s="1001"/>
      <c r="GXK38" s="1001"/>
      <c r="GXL38" s="1001"/>
      <c r="GXM38" s="1001"/>
      <c r="GXN38" s="1001"/>
      <c r="GXO38" s="1001"/>
      <c r="GXP38" s="1001"/>
      <c r="GXQ38" s="1001"/>
      <c r="GXR38" s="1001"/>
      <c r="GXS38" s="1001"/>
      <c r="GXT38" s="1001"/>
      <c r="GXU38" s="1001"/>
      <c r="GXV38" s="1001"/>
      <c r="GXW38" s="1001"/>
      <c r="GXX38" s="1001"/>
      <c r="GXY38" s="1001"/>
      <c r="GXZ38" s="1001"/>
      <c r="GYA38" s="1001"/>
      <c r="GYB38" s="1001"/>
      <c r="GYC38" s="1001"/>
      <c r="GYD38" s="1001"/>
      <c r="GYE38" s="1001"/>
      <c r="GYF38" s="1001"/>
      <c r="GYG38" s="1001"/>
      <c r="GYH38" s="1001"/>
      <c r="GYI38" s="1001"/>
      <c r="GYJ38" s="1001"/>
      <c r="GYK38" s="1001"/>
      <c r="GYL38" s="1001"/>
      <c r="GYM38" s="1001"/>
      <c r="GYN38" s="1001"/>
      <c r="GYO38" s="1001"/>
      <c r="GYP38" s="1001"/>
      <c r="GYQ38" s="1001"/>
      <c r="GYR38" s="1001"/>
      <c r="GYS38" s="1001"/>
      <c r="GYT38" s="1001"/>
      <c r="GYU38" s="1001"/>
      <c r="GYV38" s="1001"/>
      <c r="GYW38" s="1001"/>
      <c r="GYX38" s="1001"/>
      <c r="GYY38" s="1001"/>
      <c r="GYZ38" s="1001"/>
      <c r="GZA38" s="1001"/>
      <c r="GZB38" s="1001"/>
      <c r="GZC38" s="1001"/>
      <c r="GZD38" s="1001"/>
      <c r="GZE38" s="1001"/>
      <c r="GZF38" s="1001"/>
      <c r="GZG38" s="1001"/>
      <c r="GZH38" s="1001"/>
      <c r="GZI38" s="1001"/>
      <c r="GZJ38" s="1001"/>
      <c r="GZK38" s="1001"/>
      <c r="GZL38" s="1001"/>
      <c r="GZM38" s="1001"/>
      <c r="GZN38" s="1001"/>
      <c r="GZO38" s="1001"/>
      <c r="GZP38" s="1001"/>
      <c r="GZQ38" s="1001"/>
      <c r="GZR38" s="1001"/>
      <c r="GZS38" s="1001"/>
      <c r="GZT38" s="1001"/>
      <c r="GZU38" s="1001"/>
      <c r="GZV38" s="1001"/>
      <c r="GZW38" s="1001"/>
      <c r="GZX38" s="1001"/>
      <c r="GZY38" s="1001"/>
      <c r="GZZ38" s="1001"/>
      <c r="HAA38" s="1001"/>
      <c r="HAB38" s="1001"/>
      <c r="HAC38" s="1001"/>
      <c r="HAD38" s="1001"/>
      <c r="HAE38" s="1001"/>
      <c r="HAF38" s="1001"/>
      <c r="HAG38" s="1001"/>
      <c r="HAH38" s="1001"/>
      <c r="HAI38" s="1001"/>
      <c r="HAJ38" s="1001"/>
      <c r="HAK38" s="1001"/>
      <c r="HAL38" s="1001"/>
      <c r="HAM38" s="1001"/>
      <c r="HAN38" s="1001"/>
      <c r="HAO38" s="1001"/>
      <c r="HAP38" s="1001"/>
      <c r="HAQ38" s="1001"/>
      <c r="HAR38" s="1001"/>
      <c r="HAS38" s="1001"/>
      <c r="HAT38" s="1001"/>
      <c r="HAU38" s="1001"/>
      <c r="HAV38" s="1001"/>
      <c r="HAW38" s="1001"/>
      <c r="HAX38" s="1001"/>
      <c r="HAY38" s="1001"/>
      <c r="HAZ38" s="1001"/>
      <c r="HBA38" s="1001"/>
      <c r="HBB38" s="1001"/>
      <c r="HBC38" s="1001"/>
      <c r="HBD38" s="1001"/>
      <c r="HBE38" s="1001"/>
      <c r="HBF38" s="1001"/>
      <c r="HBG38" s="1001"/>
      <c r="HBH38" s="1001"/>
      <c r="HBI38" s="1001"/>
      <c r="HBJ38" s="1001"/>
      <c r="HBK38" s="1001"/>
      <c r="HBL38" s="1001"/>
      <c r="HBM38" s="1001"/>
      <c r="HBN38" s="1001"/>
      <c r="HBO38" s="1001"/>
      <c r="HBP38" s="1001"/>
      <c r="HBQ38" s="1001"/>
      <c r="HBR38" s="1001"/>
      <c r="HBS38" s="1001"/>
      <c r="HBT38" s="1001"/>
      <c r="HBU38" s="1001"/>
      <c r="HBV38" s="1001"/>
      <c r="HBW38" s="1001"/>
      <c r="HBX38" s="1001"/>
      <c r="HBY38" s="1001"/>
      <c r="HBZ38" s="1001"/>
      <c r="HCA38" s="1001"/>
      <c r="HCB38" s="1001"/>
      <c r="HCC38" s="1001"/>
      <c r="HCD38" s="1001"/>
      <c r="HCE38" s="1001"/>
      <c r="HCF38" s="1001"/>
      <c r="HCG38" s="1001"/>
      <c r="HCH38" s="1001"/>
      <c r="HCI38" s="1001"/>
      <c r="HCJ38" s="1001"/>
      <c r="HCK38" s="1001"/>
      <c r="HCL38" s="1001"/>
      <c r="HCM38" s="1001"/>
      <c r="HCN38" s="1001"/>
      <c r="HCO38" s="1001"/>
      <c r="HCP38" s="1001"/>
      <c r="HCQ38" s="1001"/>
      <c r="HCR38" s="1001"/>
      <c r="HCS38" s="1001"/>
      <c r="HCT38" s="1001"/>
      <c r="HCU38" s="1001"/>
      <c r="HCV38" s="1001"/>
      <c r="HCW38" s="1001"/>
      <c r="HCX38" s="1001"/>
      <c r="HCY38" s="1001"/>
      <c r="HCZ38" s="1001"/>
      <c r="HDA38" s="1001"/>
      <c r="HDB38" s="1001"/>
      <c r="HDC38" s="1001"/>
      <c r="HDD38" s="1001"/>
      <c r="HDE38" s="1001"/>
      <c r="HDF38" s="1001"/>
      <c r="HDG38" s="1001"/>
      <c r="HDH38" s="1001"/>
      <c r="HDI38" s="1001"/>
      <c r="HDJ38" s="1001"/>
      <c r="HDK38" s="1001"/>
      <c r="HDL38" s="1001"/>
      <c r="HDM38" s="1001"/>
      <c r="HDN38" s="1001"/>
      <c r="HDO38" s="1001"/>
      <c r="HDP38" s="1001"/>
      <c r="HDQ38" s="1001"/>
      <c r="HDR38" s="1001"/>
      <c r="HDS38" s="1001"/>
      <c r="HDT38" s="1001"/>
      <c r="HDU38" s="1001"/>
      <c r="HDV38" s="1001"/>
      <c r="HDW38" s="1001"/>
      <c r="HDX38" s="1001"/>
      <c r="HDY38" s="1001"/>
      <c r="HDZ38" s="1001"/>
      <c r="HEA38" s="1001"/>
      <c r="HEB38" s="1001"/>
      <c r="HEC38" s="1001"/>
      <c r="HED38" s="1001"/>
      <c r="HEE38" s="1001"/>
      <c r="HEF38" s="1001"/>
      <c r="HEG38" s="1001"/>
      <c r="HEH38" s="1001"/>
      <c r="HEI38" s="1001"/>
      <c r="HEJ38" s="1001"/>
      <c r="HEK38" s="1001"/>
      <c r="HEL38" s="1001"/>
      <c r="HEM38" s="1001"/>
      <c r="HEN38" s="1001"/>
      <c r="HEO38" s="1001"/>
      <c r="HEP38" s="1001"/>
      <c r="HEQ38" s="1001"/>
      <c r="HER38" s="1001"/>
      <c r="HES38" s="1001"/>
      <c r="HET38" s="1001"/>
      <c r="HEU38" s="1001"/>
      <c r="HEV38" s="1001"/>
      <c r="HEW38" s="1001"/>
      <c r="HEX38" s="1001"/>
      <c r="HEY38" s="1001"/>
      <c r="HEZ38" s="1001"/>
      <c r="HFA38" s="1001"/>
      <c r="HFB38" s="1001"/>
      <c r="HFC38" s="1001"/>
      <c r="HFD38" s="1001"/>
      <c r="HFE38" s="1001"/>
      <c r="HFF38" s="1001"/>
      <c r="HFG38" s="1001"/>
      <c r="HFH38" s="1001"/>
      <c r="HFI38" s="1001"/>
      <c r="HFJ38" s="1001"/>
      <c r="HFK38" s="1001"/>
      <c r="HFL38" s="1001"/>
      <c r="HFM38" s="1001"/>
      <c r="HFN38" s="1001"/>
      <c r="HFO38" s="1001"/>
      <c r="HFP38" s="1001"/>
      <c r="HFQ38" s="1001"/>
      <c r="HFR38" s="1001"/>
      <c r="HFS38" s="1001"/>
      <c r="HFT38" s="1001"/>
      <c r="HFU38" s="1001"/>
      <c r="HFV38" s="1001"/>
      <c r="HFW38" s="1001"/>
      <c r="HFX38" s="1001"/>
      <c r="HFY38" s="1001"/>
      <c r="HFZ38" s="1001"/>
      <c r="HGA38" s="1001"/>
      <c r="HGB38" s="1001"/>
      <c r="HGC38" s="1001"/>
      <c r="HGD38" s="1001"/>
      <c r="HGE38" s="1001"/>
      <c r="HGF38" s="1001"/>
      <c r="HGG38" s="1001"/>
      <c r="HGH38" s="1001"/>
      <c r="HGI38" s="1001"/>
      <c r="HGJ38" s="1001"/>
      <c r="HGK38" s="1001"/>
      <c r="HGL38" s="1001"/>
      <c r="HGM38" s="1001"/>
      <c r="HGN38" s="1001"/>
      <c r="HGO38" s="1001"/>
      <c r="HGP38" s="1001"/>
      <c r="HGQ38" s="1001"/>
      <c r="HGR38" s="1001"/>
      <c r="HGS38" s="1001"/>
      <c r="HGT38" s="1001"/>
      <c r="HGU38" s="1001"/>
      <c r="HGV38" s="1001"/>
      <c r="HGW38" s="1001"/>
      <c r="HGX38" s="1001"/>
      <c r="HGY38" s="1001"/>
      <c r="HGZ38" s="1001"/>
      <c r="HHA38" s="1001"/>
      <c r="HHB38" s="1001"/>
      <c r="HHC38" s="1001"/>
      <c r="HHD38" s="1001"/>
      <c r="HHE38" s="1001"/>
      <c r="HHF38" s="1001"/>
      <c r="HHG38" s="1001"/>
      <c r="HHH38" s="1001"/>
      <c r="HHI38" s="1001"/>
      <c r="HHJ38" s="1001"/>
      <c r="HHK38" s="1001"/>
      <c r="HHL38" s="1001"/>
      <c r="HHM38" s="1001"/>
      <c r="HHN38" s="1001"/>
      <c r="HHO38" s="1001"/>
      <c r="HHP38" s="1001"/>
      <c r="HHQ38" s="1001"/>
      <c r="HHR38" s="1001"/>
      <c r="HHS38" s="1001"/>
      <c r="HHT38" s="1001"/>
      <c r="HHU38" s="1001"/>
      <c r="HHV38" s="1001"/>
      <c r="HHW38" s="1001"/>
      <c r="HHX38" s="1001"/>
      <c r="HHY38" s="1001"/>
      <c r="HHZ38" s="1001"/>
      <c r="HIA38" s="1001"/>
      <c r="HIB38" s="1001"/>
      <c r="HIC38" s="1001"/>
      <c r="HID38" s="1001"/>
      <c r="HIE38" s="1001"/>
      <c r="HIF38" s="1001"/>
      <c r="HIG38" s="1001"/>
      <c r="HIH38" s="1001"/>
      <c r="HII38" s="1001"/>
      <c r="HIJ38" s="1001"/>
      <c r="HIK38" s="1001"/>
      <c r="HIL38" s="1001"/>
      <c r="HIM38" s="1001"/>
      <c r="HIN38" s="1001"/>
      <c r="HIO38" s="1001"/>
      <c r="HIP38" s="1001"/>
      <c r="HIQ38" s="1001"/>
      <c r="HIR38" s="1001"/>
      <c r="HIS38" s="1001"/>
      <c r="HIT38" s="1001"/>
      <c r="HIU38" s="1001"/>
      <c r="HIV38" s="1001"/>
      <c r="HIW38" s="1001"/>
      <c r="HIX38" s="1001"/>
      <c r="HIY38" s="1001"/>
      <c r="HIZ38" s="1001"/>
      <c r="HJA38" s="1001"/>
      <c r="HJB38" s="1001"/>
      <c r="HJC38" s="1001"/>
      <c r="HJD38" s="1001"/>
      <c r="HJE38" s="1001"/>
      <c r="HJF38" s="1001"/>
      <c r="HJG38" s="1001"/>
      <c r="HJH38" s="1001"/>
      <c r="HJI38" s="1001"/>
      <c r="HJJ38" s="1001"/>
      <c r="HJK38" s="1001"/>
      <c r="HJL38" s="1001"/>
      <c r="HJM38" s="1001"/>
      <c r="HJN38" s="1001"/>
      <c r="HJO38" s="1001"/>
      <c r="HJP38" s="1001"/>
      <c r="HJQ38" s="1001"/>
      <c r="HJR38" s="1001"/>
      <c r="HJS38" s="1001"/>
      <c r="HJT38" s="1001"/>
      <c r="HJU38" s="1001"/>
      <c r="HJV38" s="1001"/>
      <c r="HJW38" s="1001"/>
      <c r="HJX38" s="1001"/>
      <c r="HJY38" s="1001"/>
      <c r="HJZ38" s="1001"/>
      <c r="HKA38" s="1001"/>
      <c r="HKB38" s="1001"/>
      <c r="HKC38" s="1001"/>
      <c r="HKD38" s="1001"/>
      <c r="HKE38" s="1001"/>
      <c r="HKF38" s="1001"/>
      <c r="HKG38" s="1001"/>
      <c r="HKH38" s="1001"/>
      <c r="HKI38" s="1001"/>
      <c r="HKJ38" s="1001"/>
      <c r="HKK38" s="1001"/>
      <c r="HKL38" s="1001"/>
      <c r="HKM38" s="1001"/>
      <c r="HKN38" s="1001"/>
      <c r="HKO38" s="1001"/>
      <c r="HKP38" s="1001"/>
      <c r="HKQ38" s="1001"/>
      <c r="HKR38" s="1001"/>
      <c r="HKS38" s="1001"/>
      <c r="HKT38" s="1001"/>
      <c r="HKU38" s="1001"/>
      <c r="HKV38" s="1001"/>
      <c r="HKW38" s="1001"/>
      <c r="HKX38" s="1001"/>
      <c r="HKY38" s="1001"/>
      <c r="HKZ38" s="1001"/>
      <c r="HLA38" s="1001"/>
      <c r="HLB38" s="1001"/>
      <c r="HLC38" s="1001"/>
      <c r="HLD38" s="1001"/>
      <c r="HLE38" s="1001"/>
      <c r="HLF38" s="1001"/>
      <c r="HLG38" s="1001"/>
      <c r="HLH38" s="1001"/>
      <c r="HLI38" s="1001"/>
      <c r="HLJ38" s="1001"/>
      <c r="HLK38" s="1001"/>
      <c r="HLL38" s="1001"/>
      <c r="HLM38" s="1001"/>
      <c r="HLN38" s="1001"/>
      <c r="HLO38" s="1001"/>
      <c r="HLP38" s="1001"/>
      <c r="HLQ38" s="1001"/>
      <c r="HLR38" s="1001"/>
      <c r="HLS38" s="1001"/>
      <c r="HLT38" s="1001"/>
      <c r="HLU38" s="1001"/>
      <c r="HLV38" s="1001"/>
      <c r="HLW38" s="1001"/>
      <c r="HLX38" s="1001"/>
      <c r="HLY38" s="1001"/>
      <c r="HLZ38" s="1001"/>
      <c r="HMA38" s="1001"/>
      <c r="HMB38" s="1001"/>
      <c r="HMC38" s="1001"/>
      <c r="HMD38" s="1001"/>
      <c r="HME38" s="1001"/>
      <c r="HMF38" s="1001"/>
      <c r="HMG38" s="1001"/>
      <c r="HMH38" s="1001"/>
      <c r="HMI38" s="1001"/>
      <c r="HMJ38" s="1001"/>
      <c r="HMK38" s="1001"/>
      <c r="HML38" s="1001"/>
      <c r="HMM38" s="1001"/>
      <c r="HMN38" s="1001"/>
      <c r="HMO38" s="1001"/>
      <c r="HMP38" s="1001"/>
      <c r="HMQ38" s="1001"/>
      <c r="HMR38" s="1001"/>
      <c r="HMS38" s="1001"/>
      <c r="HMT38" s="1001"/>
      <c r="HMU38" s="1001"/>
      <c r="HMV38" s="1001"/>
      <c r="HMW38" s="1001"/>
      <c r="HMX38" s="1001"/>
      <c r="HMY38" s="1001"/>
      <c r="HMZ38" s="1001"/>
      <c r="HNA38" s="1001"/>
      <c r="HNB38" s="1001"/>
      <c r="HNC38" s="1001"/>
      <c r="HND38" s="1001"/>
      <c r="HNE38" s="1001"/>
      <c r="HNF38" s="1001"/>
      <c r="HNG38" s="1001"/>
      <c r="HNH38" s="1001"/>
      <c r="HNI38" s="1001"/>
      <c r="HNJ38" s="1001"/>
      <c r="HNK38" s="1001"/>
      <c r="HNL38" s="1001"/>
      <c r="HNM38" s="1001"/>
      <c r="HNN38" s="1001"/>
      <c r="HNO38" s="1001"/>
      <c r="HNP38" s="1001"/>
      <c r="HNQ38" s="1001"/>
      <c r="HNR38" s="1001"/>
      <c r="HNS38" s="1001"/>
      <c r="HNT38" s="1001"/>
      <c r="HNU38" s="1001"/>
      <c r="HNV38" s="1001"/>
      <c r="HNW38" s="1001"/>
      <c r="HNX38" s="1001"/>
      <c r="HNY38" s="1001"/>
      <c r="HNZ38" s="1001"/>
      <c r="HOA38" s="1001"/>
      <c r="HOB38" s="1001"/>
      <c r="HOC38" s="1001"/>
      <c r="HOD38" s="1001"/>
      <c r="HOE38" s="1001"/>
      <c r="HOF38" s="1001"/>
      <c r="HOG38" s="1001"/>
      <c r="HOH38" s="1001"/>
      <c r="HOI38" s="1001"/>
      <c r="HOJ38" s="1001"/>
      <c r="HOK38" s="1001"/>
      <c r="HOL38" s="1001"/>
      <c r="HOM38" s="1001"/>
      <c r="HON38" s="1001"/>
      <c r="HOO38" s="1001"/>
      <c r="HOP38" s="1001"/>
      <c r="HOQ38" s="1001"/>
      <c r="HOR38" s="1001"/>
      <c r="HOS38" s="1001"/>
      <c r="HOT38" s="1001"/>
      <c r="HOU38" s="1001"/>
      <c r="HOV38" s="1001"/>
      <c r="HOW38" s="1001"/>
      <c r="HOX38" s="1001"/>
      <c r="HOY38" s="1001"/>
      <c r="HOZ38" s="1001"/>
      <c r="HPA38" s="1001"/>
      <c r="HPB38" s="1001"/>
      <c r="HPC38" s="1001"/>
      <c r="HPD38" s="1001"/>
      <c r="HPE38" s="1001"/>
      <c r="HPF38" s="1001"/>
      <c r="HPG38" s="1001"/>
      <c r="HPH38" s="1001"/>
      <c r="HPI38" s="1001"/>
      <c r="HPJ38" s="1001"/>
      <c r="HPK38" s="1001"/>
      <c r="HPL38" s="1001"/>
      <c r="HPM38" s="1001"/>
      <c r="HPN38" s="1001"/>
      <c r="HPO38" s="1001"/>
      <c r="HPP38" s="1001"/>
      <c r="HPQ38" s="1001"/>
      <c r="HPR38" s="1001"/>
      <c r="HPS38" s="1001"/>
      <c r="HPT38" s="1001"/>
      <c r="HPU38" s="1001"/>
      <c r="HPV38" s="1001"/>
      <c r="HPW38" s="1001"/>
      <c r="HPX38" s="1001"/>
      <c r="HPY38" s="1001"/>
      <c r="HPZ38" s="1001"/>
      <c r="HQA38" s="1001"/>
      <c r="HQB38" s="1001"/>
      <c r="HQC38" s="1001"/>
      <c r="HQD38" s="1001"/>
      <c r="HQE38" s="1001"/>
      <c r="HQF38" s="1001"/>
      <c r="HQG38" s="1001"/>
      <c r="HQH38" s="1001"/>
      <c r="HQI38" s="1001"/>
      <c r="HQJ38" s="1001"/>
      <c r="HQK38" s="1001"/>
      <c r="HQL38" s="1001"/>
      <c r="HQM38" s="1001"/>
      <c r="HQN38" s="1001"/>
      <c r="HQO38" s="1001"/>
      <c r="HQP38" s="1001"/>
      <c r="HQQ38" s="1001"/>
      <c r="HQR38" s="1001"/>
      <c r="HQS38" s="1001"/>
      <c r="HQT38" s="1001"/>
      <c r="HQU38" s="1001"/>
      <c r="HQV38" s="1001"/>
      <c r="HQW38" s="1001"/>
      <c r="HQX38" s="1001"/>
      <c r="HQY38" s="1001"/>
      <c r="HQZ38" s="1001"/>
      <c r="HRA38" s="1001"/>
      <c r="HRB38" s="1001"/>
      <c r="HRC38" s="1001"/>
      <c r="HRD38" s="1001"/>
      <c r="HRE38" s="1001"/>
      <c r="HRF38" s="1001"/>
      <c r="HRG38" s="1001"/>
      <c r="HRH38" s="1001"/>
      <c r="HRI38" s="1001"/>
      <c r="HRJ38" s="1001"/>
      <c r="HRK38" s="1001"/>
      <c r="HRL38" s="1001"/>
      <c r="HRM38" s="1001"/>
      <c r="HRN38" s="1001"/>
      <c r="HRO38" s="1001"/>
      <c r="HRP38" s="1001"/>
      <c r="HRQ38" s="1001"/>
      <c r="HRR38" s="1001"/>
      <c r="HRS38" s="1001"/>
      <c r="HRT38" s="1001"/>
      <c r="HRU38" s="1001"/>
      <c r="HRV38" s="1001"/>
      <c r="HRW38" s="1001"/>
      <c r="HRX38" s="1001"/>
      <c r="HRY38" s="1001"/>
      <c r="HRZ38" s="1001"/>
      <c r="HSA38" s="1001"/>
      <c r="HSB38" s="1001"/>
      <c r="HSC38" s="1001"/>
      <c r="HSD38" s="1001"/>
      <c r="HSE38" s="1001"/>
      <c r="HSF38" s="1001"/>
      <c r="HSG38" s="1001"/>
      <c r="HSH38" s="1001"/>
      <c r="HSI38" s="1001"/>
      <c r="HSJ38" s="1001"/>
      <c r="HSK38" s="1001"/>
      <c r="HSL38" s="1001"/>
      <c r="HSM38" s="1001"/>
      <c r="HSN38" s="1001"/>
      <c r="HSO38" s="1001"/>
      <c r="HSP38" s="1001"/>
      <c r="HSQ38" s="1001"/>
      <c r="HSR38" s="1001"/>
      <c r="HSS38" s="1001"/>
      <c r="HST38" s="1001"/>
      <c r="HSU38" s="1001"/>
      <c r="HSV38" s="1001"/>
      <c r="HSW38" s="1001"/>
      <c r="HSX38" s="1001"/>
      <c r="HSY38" s="1001"/>
      <c r="HSZ38" s="1001"/>
      <c r="HTA38" s="1001"/>
      <c r="HTB38" s="1001"/>
      <c r="HTC38" s="1001"/>
      <c r="HTD38" s="1001"/>
      <c r="HTE38" s="1001"/>
      <c r="HTF38" s="1001"/>
      <c r="HTG38" s="1001"/>
      <c r="HTH38" s="1001"/>
      <c r="HTI38" s="1001"/>
      <c r="HTJ38" s="1001"/>
      <c r="HTK38" s="1001"/>
      <c r="HTL38" s="1001"/>
      <c r="HTM38" s="1001"/>
      <c r="HTN38" s="1001"/>
      <c r="HTO38" s="1001"/>
      <c r="HTP38" s="1001"/>
      <c r="HTQ38" s="1001"/>
      <c r="HTR38" s="1001"/>
      <c r="HTS38" s="1001"/>
      <c r="HTT38" s="1001"/>
      <c r="HTU38" s="1001"/>
      <c r="HTV38" s="1001"/>
      <c r="HTW38" s="1001"/>
      <c r="HTX38" s="1001"/>
      <c r="HTY38" s="1001"/>
      <c r="HTZ38" s="1001"/>
      <c r="HUA38" s="1001"/>
      <c r="HUB38" s="1001"/>
      <c r="HUC38" s="1001"/>
      <c r="HUD38" s="1001"/>
      <c r="HUE38" s="1001"/>
      <c r="HUF38" s="1001"/>
      <c r="HUG38" s="1001"/>
      <c r="HUH38" s="1001"/>
      <c r="HUI38" s="1001"/>
      <c r="HUJ38" s="1001"/>
      <c r="HUK38" s="1001"/>
      <c r="HUL38" s="1001"/>
      <c r="HUM38" s="1001"/>
      <c r="HUN38" s="1001"/>
      <c r="HUO38" s="1001"/>
      <c r="HUP38" s="1001"/>
      <c r="HUQ38" s="1001"/>
      <c r="HUR38" s="1001"/>
      <c r="HUS38" s="1001"/>
      <c r="HUT38" s="1001"/>
      <c r="HUU38" s="1001"/>
      <c r="HUV38" s="1001"/>
      <c r="HUW38" s="1001"/>
      <c r="HUX38" s="1001"/>
      <c r="HUY38" s="1001"/>
      <c r="HUZ38" s="1001"/>
      <c r="HVA38" s="1001"/>
      <c r="HVB38" s="1001"/>
      <c r="HVC38" s="1001"/>
      <c r="HVD38" s="1001"/>
      <c r="HVE38" s="1001"/>
      <c r="HVF38" s="1001"/>
      <c r="HVG38" s="1001"/>
      <c r="HVH38" s="1001"/>
      <c r="HVI38" s="1001"/>
      <c r="HVJ38" s="1001"/>
      <c r="HVK38" s="1001"/>
      <c r="HVL38" s="1001"/>
      <c r="HVM38" s="1001"/>
      <c r="HVN38" s="1001"/>
      <c r="HVO38" s="1001"/>
      <c r="HVP38" s="1001"/>
      <c r="HVQ38" s="1001"/>
      <c r="HVR38" s="1001"/>
      <c r="HVS38" s="1001"/>
      <c r="HVT38" s="1001"/>
      <c r="HVU38" s="1001"/>
      <c r="HVV38" s="1001"/>
      <c r="HVW38" s="1001"/>
      <c r="HVX38" s="1001"/>
      <c r="HVY38" s="1001"/>
      <c r="HVZ38" s="1001"/>
      <c r="HWA38" s="1001"/>
      <c r="HWB38" s="1001"/>
      <c r="HWC38" s="1001"/>
      <c r="HWD38" s="1001"/>
      <c r="HWE38" s="1001"/>
      <c r="HWF38" s="1001"/>
      <c r="HWG38" s="1001"/>
      <c r="HWH38" s="1001"/>
      <c r="HWI38" s="1001"/>
      <c r="HWJ38" s="1001"/>
      <c r="HWK38" s="1001"/>
      <c r="HWL38" s="1001"/>
      <c r="HWM38" s="1001"/>
      <c r="HWN38" s="1001"/>
      <c r="HWO38" s="1001"/>
      <c r="HWP38" s="1001"/>
      <c r="HWQ38" s="1001"/>
      <c r="HWR38" s="1001"/>
      <c r="HWS38" s="1001"/>
      <c r="HWT38" s="1001"/>
      <c r="HWU38" s="1001"/>
      <c r="HWV38" s="1001"/>
      <c r="HWW38" s="1001"/>
      <c r="HWX38" s="1001"/>
      <c r="HWY38" s="1001"/>
      <c r="HWZ38" s="1001"/>
      <c r="HXA38" s="1001"/>
      <c r="HXB38" s="1001"/>
      <c r="HXC38" s="1001"/>
      <c r="HXD38" s="1001"/>
      <c r="HXE38" s="1001"/>
      <c r="HXF38" s="1001"/>
      <c r="HXG38" s="1001"/>
      <c r="HXH38" s="1001"/>
      <c r="HXI38" s="1001"/>
      <c r="HXJ38" s="1001"/>
      <c r="HXK38" s="1001"/>
      <c r="HXL38" s="1001"/>
      <c r="HXM38" s="1001"/>
      <c r="HXN38" s="1001"/>
      <c r="HXO38" s="1001"/>
      <c r="HXP38" s="1001"/>
      <c r="HXQ38" s="1001"/>
      <c r="HXR38" s="1001"/>
      <c r="HXS38" s="1001"/>
      <c r="HXT38" s="1001"/>
      <c r="HXU38" s="1001"/>
      <c r="HXV38" s="1001"/>
      <c r="HXW38" s="1001"/>
      <c r="HXX38" s="1001"/>
      <c r="HXY38" s="1001"/>
      <c r="HXZ38" s="1001"/>
      <c r="HYA38" s="1001"/>
      <c r="HYB38" s="1001"/>
      <c r="HYC38" s="1001"/>
      <c r="HYD38" s="1001"/>
      <c r="HYE38" s="1001"/>
      <c r="HYF38" s="1001"/>
      <c r="HYG38" s="1001"/>
      <c r="HYH38" s="1001"/>
      <c r="HYI38" s="1001"/>
      <c r="HYJ38" s="1001"/>
      <c r="HYK38" s="1001"/>
      <c r="HYL38" s="1001"/>
      <c r="HYM38" s="1001"/>
      <c r="HYN38" s="1001"/>
      <c r="HYO38" s="1001"/>
      <c r="HYP38" s="1001"/>
      <c r="HYQ38" s="1001"/>
      <c r="HYR38" s="1001"/>
      <c r="HYS38" s="1001"/>
      <c r="HYT38" s="1001"/>
      <c r="HYU38" s="1001"/>
      <c r="HYV38" s="1001"/>
      <c r="HYW38" s="1001"/>
      <c r="HYX38" s="1001"/>
      <c r="HYY38" s="1001"/>
      <c r="HYZ38" s="1001"/>
      <c r="HZA38" s="1001"/>
      <c r="HZB38" s="1001"/>
      <c r="HZC38" s="1001"/>
      <c r="HZD38" s="1001"/>
      <c r="HZE38" s="1001"/>
      <c r="HZF38" s="1001"/>
      <c r="HZG38" s="1001"/>
      <c r="HZH38" s="1001"/>
      <c r="HZI38" s="1001"/>
      <c r="HZJ38" s="1001"/>
      <c r="HZK38" s="1001"/>
      <c r="HZL38" s="1001"/>
      <c r="HZM38" s="1001"/>
      <c r="HZN38" s="1001"/>
      <c r="HZO38" s="1001"/>
      <c r="HZP38" s="1001"/>
      <c r="HZQ38" s="1001"/>
      <c r="HZR38" s="1001"/>
      <c r="HZS38" s="1001"/>
      <c r="HZT38" s="1001"/>
      <c r="HZU38" s="1001"/>
      <c r="HZV38" s="1001"/>
      <c r="HZW38" s="1001"/>
      <c r="HZX38" s="1001"/>
      <c r="HZY38" s="1001"/>
      <c r="HZZ38" s="1001"/>
      <c r="IAA38" s="1001"/>
      <c r="IAB38" s="1001"/>
      <c r="IAC38" s="1001"/>
      <c r="IAD38" s="1001"/>
      <c r="IAE38" s="1001"/>
      <c r="IAF38" s="1001"/>
      <c r="IAG38" s="1001"/>
      <c r="IAH38" s="1001"/>
      <c r="IAI38" s="1001"/>
      <c r="IAJ38" s="1001"/>
      <c r="IAK38" s="1001"/>
      <c r="IAL38" s="1001"/>
      <c r="IAM38" s="1001"/>
      <c r="IAN38" s="1001"/>
      <c r="IAO38" s="1001"/>
      <c r="IAP38" s="1001"/>
      <c r="IAQ38" s="1001"/>
      <c r="IAR38" s="1001"/>
      <c r="IAS38" s="1001"/>
      <c r="IAT38" s="1001"/>
      <c r="IAU38" s="1001"/>
      <c r="IAV38" s="1001"/>
      <c r="IAW38" s="1001"/>
      <c r="IAX38" s="1001"/>
      <c r="IAY38" s="1001"/>
      <c r="IAZ38" s="1001"/>
      <c r="IBA38" s="1001"/>
      <c r="IBB38" s="1001"/>
      <c r="IBC38" s="1001"/>
      <c r="IBD38" s="1001"/>
      <c r="IBE38" s="1001"/>
      <c r="IBF38" s="1001"/>
      <c r="IBG38" s="1001"/>
      <c r="IBH38" s="1001"/>
      <c r="IBI38" s="1001"/>
      <c r="IBJ38" s="1001"/>
      <c r="IBK38" s="1001"/>
      <c r="IBL38" s="1001"/>
      <c r="IBM38" s="1001"/>
      <c r="IBN38" s="1001"/>
      <c r="IBO38" s="1001"/>
      <c r="IBP38" s="1001"/>
      <c r="IBQ38" s="1001"/>
      <c r="IBR38" s="1001"/>
      <c r="IBS38" s="1001"/>
      <c r="IBT38" s="1001"/>
      <c r="IBU38" s="1001"/>
      <c r="IBV38" s="1001"/>
      <c r="IBW38" s="1001"/>
      <c r="IBX38" s="1001"/>
      <c r="IBY38" s="1001"/>
      <c r="IBZ38" s="1001"/>
      <c r="ICA38" s="1001"/>
      <c r="ICB38" s="1001"/>
      <c r="ICC38" s="1001"/>
      <c r="ICD38" s="1001"/>
      <c r="ICE38" s="1001"/>
      <c r="ICF38" s="1001"/>
      <c r="ICG38" s="1001"/>
      <c r="ICH38" s="1001"/>
      <c r="ICI38" s="1001"/>
      <c r="ICJ38" s="1001"/>
      <c r="ICK38" s="1001"/>
      <c r="ICL38" s="1001"/>
      <c r="ICM38" s="1001"/>
      <c r="ICN38" s="1001"/>
      <c r="ICO38" s="1001"/>
      <c r="ICP38" s="1001"/>
      <c r="ICQ38" s="1001"/>
      <c r="ICR38" s="1001"/>
      <c r="ICS38" s="1001"/>
      <c r="ICT38" s="1001"/>
      <c r="ICU38" s="1001"/>
      <c r="ICV38" s="1001"/>
      <c r="ICW38" s="1001"/>
      <c r="ICX38" s="1001"/>
      <c r="ICY38" s="1001"/>
      <c r="ICZ38" s="1001"/>
      <c r="IDA38" s="1001"/>
      <c r="IDB38" s="1001"/>
      <c r="IDC38" s="1001"/>
      <c r="IDD38" s="1001"/>
      <c r="IDE38" s="1001"/>
      <c r="IDF38" s="1001"/>
      <c r="IDG38" s="1001"/>
      <c r="IDH38" s="1001"/>
      <c r="IDI38" s="1001"/>
      <c r="IDJ38" s="1001"/>
      <c r="IDK38" s="1001"/>
      <c r="IDL38" s="1001"/>
      <c r="IDM38" s="1001"/>
      <c r="IDN38" s="1001"/>
      <c r="IDO38" s="1001"/>
      <c r="IDP38" s="1001"/>
      <c r="IDQ38" s="1001"/>
      <c r="IDR38" s="1001"/>
      <c r="IDS38" s="1001"/>
      <c r="IDT38" s="1001"/>
      <c r="IDU38" s="1001"/>
      <c r="IDV38" s="1001"/>
      <c r="IDW38" s="1001"/>
      <c r="IDX38" s="1001"/>
      <c r="IDY38" s="1001"/>
      <c r="IDZ38" s="1001"/>
      <c r="IEA38" s="1001"/>
      <c r="IEB38" s="1001"/>
      <c r="IEC38" s="1001"/>
      <c r="IED38" s="1001"/>
      <c r="IEE38" s="1001"/>
      <c r="IEF38" s="1001"/>
      <c r="IEG38" s="1001"/>
      <c r="IEH38" s="1001"/>
      <c r="IEI38" s="1001"/>
      <c r="IEJ38" s="1001"/>
      <c r="IEK38" s="1001"/>
      <c r="IEL38" s="1001"/>
      <c r="IEM38" s="1001"/>
      <c r="IEN38" s="1001"/>
      <c r="IEO38" s="1001"/>
      <c r="IEP38" s="1001"/>
      <c r="IEQ38" s="1001"/>
      <c r="IER38" s="1001"/>
      <c r="IES38" s="1001"/>
      <c r="IET38" s="1001"/>
      <c r="IEU38" s="1001"/>
      <c r="IEV38" s="1001"/>
      <c r="IEW38" s="1001"/>
      <c r="IEX38" s="1001"/>
      <c r="IEY38" s="1001"/>
      <c r="IEZ38" s="1001"/>
      <c r="IFA38" s="1001"/>
      <c r="IFB38" s="1001"/>
      <c r="IFC38" s="1001"/>
      <c r="IFD38" s="1001"/>
      <c r="IFE38" s="1001"/>
      <c r="IFF38" s="1001"/>
      <c r="IFG38" s="1001"/>
      <c r="IFH38" s="1001"/>
      <c r="IFI38" s="1001"/>
      <c r="IFJ38" s="1001"/>
      <c r="IFK38" s="1001"/>
      <c r="IFL38" s="1001"/>
      <c r="IFM38" s="1001"/>
      <c r="IFN38" s="1001"/>
      <c r="IFO38" s="1001"/>
      <c r="IFP38" s="1001"/>
      <c r="IFQ38" s="1001"/>
      <c r="IFR38" s="1001"/>
      <c r="IFS38" s="1001"/>
      <c r="IFT38" s="1001"/>
      <c r="IFU38" s="1001"/>
      <c r="IFV38" s="1001"/>
      <c r="IFW38" s="1001"/>
      <c r="IFX38" s="1001"/>
      <c r="IFY38" s="1001"/>
      <c r="IFZ38" s="1001"/>
      <c r="IGA38" s="1001"/>
      <c r="IGB38" s="1001"/>
      <c r="IGC38" s="1001"/>
      <c r="IGD38" s="1001"/>
      <c r="IGE38" s="1001"/>
      <c r="IGF38" s="1001"/>
      <c r="IGG38" s="1001"/>
      <c r="IGH38" s="1001"/>
      <c r="IGI38" s="1001"/>
      <c r="IGJ38" s="1001"/>
      <c r="IGK38" s="1001"/>
      <c r="IGL38" s="1001"/>
      <c r="IGM38" s="1001"/>
      <c r="IGN38" s="1001"/>
      <c r="IGO38" s="1001"/>
      <c r="IGP38" s="1001"/>
      <c r="IGQ38" s="1001"/>
      <c r="IGR38" s="1001"/>
      <c r="IGS38" s="1001"/>
      <c r="IGT38" s="1001"/>
      <c r="IGU38" s="1001"/>
      <c r="IGV38" s="1001"/>
      <c r="IGW38" s="1001"/>
      <c r="IGX38" s="1001"/>
      <c r="IGY38" s="1001"/>
      <c r="IGZ38" s="1001"/>
      <c r="IHA38" s="1001"/>
      <c r="IHB38" s="1001"/>
      <c r="IHC38" s="1001"/>
      <c r="IHD38" s="1001"/>
      <c r="IHE38" s="1001"/>
      <c r="IHF38" s="1001"/>
      <c r="IHG38" s="1001"/>
      <c r="IHH38" s="1001"/>
      <c r="IHI38" s="1001"/>
      <c r="IHJ38" s="1001"/>
      <c r="IHK38" s="1001"/>
      <c r="IHL38" s="1001"/>
      <c r="IHM38" s="1001"/>
      <c r="IHN38" s="1001"/>
      <c r="IHO38" s="1001"/>
      <c r="IHP38" s="1001"/>
      <c r="IHQ38" s="1001"/>
      <c r="IHR38" s="1001"/>
      <c r="IHS38" s="1001"/>
      <c r="IHT38" s="1001"/>
      <c r="IHU38" s="1001"/>
      <c r="IHV38" s="1001"/>
      <c r="IHW38" s="1001"/>
      <c r="IHX38" s="1001"/>
      <c r="IHY38" s="1001"/>
      <c r="IHZ38" s="1001"/>
      <c r="IIA38" s="1001"/>
      <c r="IIB38" s="1001"/>
      <c r="IIC38" s="1001"/>
      <c r="IID38" s="1001"/>
      <c r="IIE38" s="1001"/>
      <c r="IIF38" s="1001"/>
      <c r="IIG38" s="1001"/>
      <c r="IIH38" s="1001"/>
      <c r="III38" s="1001"/>
      <c r="IIJ38" s="1001"/>
      <c r="IIK38" s="1001"/>
      <c r="IIL38" s="1001"/>
      <c r="IIM38" s="1001"/>
      <c r="IIN38" s="1001"/>
      <c r="IIO38" s="1001"/>
      <c r="IIP38" s="1001"/>
      <c r="IIQ38" s="1001"/>
      <c r="IIR38" s="1001"/>
      <c r="IIS38" s="1001"/>
      <c r="IIT38" s="1001"/>
      <c r="IIU38" s="1001"/>
      <c r="IIV38" s="1001"/>
      <c r="IIW38" s="1001"/>
      <c r="IIX38" s="1001"/>
      <c r="IIY38" s="1001"/>
      <c r="IIZ38" s="1001"/>
      <c r="IJA38" s="1001"/>
      <c r="IJB38" s="1001"/>
      <c r="IJC38" s="1001"/>
      <c r="IJD38" s="1001"/>
      <c r="IJE38" s="1001"/>
      <c r="IJF38" s="1001"/>
      <c r="IJG38" s="1001"/>
      <c r="IJH38" s="1001"/>
      <c r="IJI38" s="1001"/>
      <c r="IJJ38" s="1001"/>
      <c r="IJK38" s="1001"/>
      <c r="IJL38" s="1001"/>
      <c r="IJM38" s="1001"/>
      <c r="IJN38" s="1001"/>
      <c r="IJO38" s="1001"/>
      <c r="IJP38" s="1001"/>
      <c r="IJQ38" s="1001"/>
      <c r="IJR38" s="1001"/>
      <c r="IJS38" s="1001"/>
      <c r="IJT38" s="1001"/>
      <c r="IJU38" s="1001"/>
      <c r="IJV38" s="1001"/>
      <c r="IJW38" s="1001"/>
      <c r="IJX38" s="1001"/>
      <c r="IJY38" s="1001"/>
      <c r="IJZ38" s="1001"/>
      <c r="IKA38" s="1001"/>
      <c r="IKB38" s="1001"/>
      <c r="IKC38" s="1001"/>
      <c r="IKD38" s="1001"/>
      <c r="IKE38" s="1001"/>
      <c r="IKF38" s="1001"/>
      <c r="IKG38" s="1001"/>
      <c r="IKH38" s="1001"/>
      <c r="IKI38" s="1001"/>
      <c r="IKJ38" s="1001"/>
      <c r="IKK38" s="1001"/>
      <c r="IKL38" s="1001"/>
      <c r="IKM38" s="1001"/>
      <c r="IKN38" s="1001"/>
      <c r="IKO38" s="1001"/>
      <c r="IKP38" s="1001"/>
      <c r="IKQ38" s="1001"/>
      <c r="IKR38" s="1001"/>
      <c r="IKS38" s="1001"/>
      <c r="IKT38" s="1001"/>
      <c r="IKU38" s="1001"/>
      <c r="IKV38" s="1001"/>
      <c r="IKW38" s="1001"/>
      <c r="IKX38" s="1001"/>
      <c r="IKY38" s="1001"/>
      <c r="IKZ38" s="1001"/>
      <c r="ILA38" s="1001"/>
      <c r="ILB38" s="1001"/>
      <c r="ILC38" s="1001"/>
      <c r="ILD38" s="1001"/>
      <c r="ILE38" s="1001"/>
      <c r="ILF38" s="1001"/>
      <c r="ILG38" s="1001"/>
      <c r="ILH38" s="1001"/>
      <c r="ILI38" s="1001"/>
      <c r="ILJ38" s="1001"/>
      <c r="ILK38" s="1001"/>
      <c r="ILL38" s="1001"/>
      <c r="ILM38" s="1001"/>
      <c r="ILN38" s="1001"/>
      <c r="ILO38" s="1001"/>
      <c r="ILP38" s="1001"/>
      <c r="ILQ38" s="1001"/>
      <c r="ILR38" s="1001"/>
      <c r="ILS38" s="1001"/>
      <c r="ILT38" s="1001"/>
      <c r="ILU38" s="1001"/>
      <c r="ILV38" s="1001"/>
      <c r="ILW38" s="1001"/>
      <c r="ILX38" s="1001"/>
      <c r="ILY38" s="1001"/>
      <c r="ILZ38" s="1001"/>
      <c r="IMA38" s="1001"/>
      <c r="IMB38" s="1001"/>
      <c r="IMC38" s="1001"/>
      <c r="IMD38" s="1001"/>
      <c r="IME38" s="1001"/>
      <c r="IMF38" s="1001"/>
      <c r="IMG38" s="1001"/>
      <c r="IMH38" s="1001"/>
      <c r="IMI38" s="1001"/>
      <c r="IMJ38" s="1001"/>
      <c r="IMK38" s="1001"/>
      <c r="IML38" s="1001"/>
      <c r="IMM38" s="1001"/>
      <c r="IMN38" s="1001"/>
      <c r="IMO38" s="1001"/>
      <c r="IMP38" s="1001"/>
      <c r="IMQ38" s="1001"/>
      <c r="IMR38" s="1001"/>
      <c r="IMS38" s="1001"/>
      <c r="IMT38" s="1001"/>
      <c r="IMU38" s="1001"/>
      <c r="IMV38" s="1001"/>
      <c r="IMW38" s="1001"/>
      <c r="IMX38" s="1001"/>
      <c r="IMY38" s="1001"/>
      <c r="IMZ38" s="1001"/>
      <c r="INA38" s="1001"/>
      <c r="INB38" s="1001"/>
      <c r="INC38" s="1001"/>
      <c r="IND38" s="1001"/>
      <c r="INE38" s="1001"/>
      <c r="INF38" s="1001"/>
      <c r="ING38" s="1001"/>
      <c r="INH38" s="1001"/>
      <c r="INI38" s="1001"/>
      <c r="INJ38" s="1001"/>
      <c r="INK38" s="1001"/>
      <c r="INL38" s="1001"/>
      <c r="INM38" s="1001"/>
      <c r="INN38" s="1001"/>
      <c r="INO38" s="1001"/>
      <c r="INP38" s="1001"/>
      <c r="INQ38" s="1001"/>
      <c r="INR38" s="1001"/>
      <c r="INS38" s="1001"/>
      <c r="INT38" s="1001"/>
      <c r="INU38" s="1001"/>
      <c r="INV38" s="1001"/>
      <c r="INW38" s="1001"/>
      <c r="INX38" s="1001"/>
      <c r="INY38" s="1001"/>
      <c r="INZ38" s="1001"/>
      <c r="IOA38" s="1001"/>
      <c r="IOB38" s="1001"/>
      <c r="IOC38" s="1001"/>
      <c r="IOD38" s="1001"/>
      <c r="IOE38" s="1001"/>
      <c r="IOF38" s="1001"/>
      <c r="IOG38" s="1001"/>
      <c r="IOH38" s="1001"/>
      <c r="IOI38" s="1001"/>
      <c r="IOJ38" s="1001"/>
      <c r="IOK38" s="1001"/>
      <c r="IOL38" s="1001"/>
      <c r="IOM38" s="1001"/>
      <c r="ION38" s="1001"/>
      <c r="IOO38" s="1001"/>
      <c r="IOP38" s="1001"/>
      <c r="IOQ38" s="1001"/>
      <c r="IOR38" s="1001"/>
      <c r="IOS38" s="1001"/>
      <c r="IOT38" s="1001"/>
      <c r="IOU38" s="1001"/>
      <c r="IOV38" s="1001"/>
      <c r="IOW38" s="1001"/>
      <c r="IOX38" s="1001"/>
      <c r="IOY38" s="1001"/>
      <c r="IOZ38" s="1001"/>
      <c r="IPA38" s="1001"/>
      <c r="IPB38" s="1001"/>
      <c r="IPC38" s="1001"/>
      <c r="IPD38" s="1001"/>
      <c r="IPE38" s="1001"/>
      <c r="IPF38" s="1001"/>
      <c r="IPG38" s="1001"/>
      <c r="IPH38" s="1001"/>
      <c r="IPI38" s="1001"/>
      <c r="IPJ38" s="1001"/>
      <c r="IPK38" s="1001"/>
      <c r="IPL38" s="1001"/>
      <c r="IPM38" s="1001"/>
      <c r="IPN38" s="1001"/>
      <c r="IPO38" s="1001"/>
      <c r="IPP38" s="1001"/>
      <c r="IPQ38" s="1001"/>
      <c r="IPR38" s="1001"/>
      <c r="IPS38" s="1001"/>
      <c r="IPT38" s="1001"/>
      <c r="IPU38" s="1001"/>
      <c r="IPV38" s="1001"/>
      <c r="IPW38" s="1001"/>
      <c r="IPX38" s="1001"/>
      <c r="IPY38" s="1001"/>
      <c r="IPZ38" s="1001"/>
      <c r="IQA38" s="1001"/>
      <c r="IQB38" s="1001"/>
      <c r="IQC38" s="1001"/>
      <c r="IQD38" s="1001"/>
      <c r="IQE38" s="1001"/>
      <c r="IQF38" s="1001"/>
      <c r="IQG38" s="1001"/>
      <c r="IQH38" s="1001"/>
      <c r="IQI38" s="1001"/>
      <c r="IQJ38" s="1001"/>
      <c r="IQK38" s="1001"/>
      <c r="IQL38" s="1001"/>
      <c r="IQM38" s="1001"/>
      <c r="IQN38" s="1001"/>
      <c r="IQO38" s="1001"/>
      <c r="IQP38" s="1001"/>
      <c r="IQQ38" s="1001"/>
      <c r="IQR38" s="1001"/>
      <c r="IQS38" s="1001"/>
      <c r="IQT38" s="1001"/>
      <c r="IQU38" s="1001"/>
      <c r="IQV38" s="1001"/>
      <c r="IQW38" s="1001"/>
      <c r="IQX38" s="1001"/>
      <c r="IQY38" s="1001"/>
      <c r="IQZ38" s="1001"/>
      <c r="IRA38" s="1001"/>
      <c r="IRB38" s="1001"/>
      <c r="IRC38" s="1001"/>
      <c r="IRD38" s="1001"/>
      <c r="IRE38" s="1001"/>
      <c r="IRF38" s="1001"/>
      <c r="IRG38" s="1001"/>
      <c r="IRH38" s="1001"/>
      <c r="IRI38" s="1001"/>
      <c r="IRJ38" s="1001"/>
      <c r="IRK38" s="1001"/>
      <c r="IRL38" s="1001"/>
      <c r="IRM38" s="1001"/>
      <c r="IRN38" s="1001"/>
      <c r="IRO38" s="1001"/>
      <c r="IRP38" s="1001"/>
      <c r="IRQ38" s="1001"/>
      <c r="IRR38" s="1001"/>
      <c r="IRS38" s="1001"/>
      <c r="IRT38" s="1001"/>
      <c r="IRU38" s="1001"/>
      <c r="IRV38" s="1001"/>
      <c r="IRW38" s="1001"/>
      <c r="IRX38" s="1001"/>
      <c r="IRY38" s="1001"/>
      <c r="IRZ38" s="1001"/>
      <c r="ISA38" s="1001"/>
      <c r="ISB38" s="1001"/>
      <c r="ISC38" s="1001"/>
      <c r="ISD38" s="1001"/>
      <c r="ISE38" s="1001"/>
      <c r="ISF38" s="1001"/>
      <c r="ISG38" s="1001"/>
      <c r="ISH38" s="1001"/>
      <c r="ISI38" s="1001"/>
      <c r="ISJ38" s="1001"/>
      <c r="ISK38" s="1001"/>
      <c r="ISL38" s="1001"/>
      <c r="ISM38" s="1001"/>
      <c r="ISN38" s="1001"/>
      <c r="ISO38" s="1001"/>
      <c r="ISP38" s="1001"/>
      <c r="ISQ38" s="1001"/>
      <c r="ISR38" s="1001"/>
      <c r="ISS38" s="1001"/>
      <c r="IST38" s="1001"/>
      <c r="ISU38" s="1001"/>
      <c r="ISV38" s="1001"/>
      <c r="ISW38" s="1001"/>
      <c r="ISX38" s="1001"/>
      <c r="ISY38" s="1001"/>
      <c r="ISZ38" s="1001"/>
      <c r="ITA38" s="1001"/>
      <c r="ITB38" s="1001"/>
      <c r="ITC38" s="1001"/>
      <c r="ITD38" s="1001"/>
      <c r="ITE38" s="1001"/>
      <c r="ITF38" s="1001"/>
      <c r="ITG38" s="1001"/>
      <c r="ITH38" s="1001"/>
      <c r="ITI38" s="1001"/>
      <c r="ITJ38" s="1001"/>
      <c r="ITK38" s="1001"/>
      <c r="ITL38" s="1001"/>
      <c r="ITM38" s="1001"/>
      <c r="ITN38" s="1001"/>
      <c r="ITO38" s="1001"/>
      <c r="ITP38" s="1001"/>
      <c r="ITQ38" s="1001"/>
      <c r="ITR38" s="1001"/>
      <c r="ITS38" s="1001"/>
      <c r="ITT38" s="1001"/>
      <c r="ITU38" s="1001"/>
      <c r="ITV38" s="1001"/>
      <c r="ITW38" s="1001"/>
      <c r="ITX38" s="1001"/>
      <c r="ITY38" s="1001"/>
      <c r="ITZ38" s="1001"/>
      <c r="IUA38" s="1001"/>
      <c r="IUB38" s="1001"/>
      <c r="IUC38" s="1001"/>
      <c r="IUD38" s="1001"/>
      <c r="IUE38" s="1001"/>
      <c r="IUF38" s="1001"/>
      <c r="IUG38" s="1001"/>
      <c r="IUH38" s="1001"/>
      <c r="IUI38" s="1001"/>
      <c r="IUJ38" s="1001"/>
      <c r="IUK38" s="1001"/>
      <c r="IUL38" s="1001"/>
      <c r="IUM38" s="1001"/>
      <c r="IUN38" s="1001"/>
      <c r="IUO38" s="1001"/>
      <c r="IUP38" s="1001"/>
      <c r="IUQ38" s="1001"/>
      <c r="IUR38" s="1001"/>
      <c r="IUS38" s="1001"/>
      <c r="IUT38" s="1001"/>
      <c r="IUU38" s="1001"/>
      <c r="IUV38" s="1001"/>
      <c r="IUW38" s="1001"/>
      <c r="IUX38" s="1001"/>
      <c r="IUY38" s="1001"/>
      <c r="IUZ38" s="1001"/>
      <c r="IVA38" s="1001"/>
      <c r="IVB38" s="1001"/>
      <c r="IVC38" s="1001"/>
      <c r="IVD38" s="1001"/>
      <c r="IVE38" s="1001"/>
      <c r="IVF38" s="1001"/>
      <c r="IVG38" s="1001"/>
      <c r="IVH38" s="1001"/>
      <c r="IVI38" s="1001"/>
      <c r="IVJ38" s="1001"/>
      <c r="IVK38" s="1001"/>
      <c r="IVL38" s="1001"/>
      <c r="IVM38" s="1001"/>
      <c r="IVN38" s="1001"/>
      <c r="IVO38" s="1001"/>
      <c r="IVP38" s="1001"/>
      <c r="IVQ38" s="1001"/>
      <c r="IVR38" s="1001"/>
      <c r="IVS38" s="1001"/>
      <c r="IVT38" s="1001"/>
      <c r="IVU38" s="1001"/>
      <c r="IVV38" s="1001"/>
      <c r="IVW38" s="1001"/>
      <c r="IVX38" s="1001"/>
      <c r="IVY38" s="1001"/>
      <c r="IVZ38" s="1001"/>
      <c r="IWA38" s="1001"/>
      <c r="IWB38" s="1001"/>
      <c r="IWC38" s="1001"/>
      <c r="IWD38" s="1001"/>
      <c r="IWE38" s="1001"/>
      <c r="IWF38" s="1001"/>
      <c r="IWG38" s="1001"/>
      <c r="IWH38" s="1001"/>
      <c r="IWI38" s="1001"/>
      <c r="IWJ38" s="1001"/>
      <c r="IWK38" s="1001"/>
      <c r="IWL38" s="1001"/>
      <c r="IWM38" s="1001"/>
      <c r="IWN38" s="1001"/>
      <c r="IWO38" s="1001"/>
      <c r="IWP38" s="1001"/>
      <c r="IWQ38" s="1001"/>
      <c r="IWR38" s="1001"/>
      <c r="IWS38" s="1001"/>
      <c r="IWT38" s="1001"/>
      <c r="IWU38" s="1001"/>
      <c r="IWV38" s="1001"/>
      <c r="IWW38" s="1001"/>
      <c r="IWX38" s="1001"/>
      <c r="IWY38" s="1001"/>
      <c r="IWZ38" s="1001"/>
      <c r="IXA38" s="1001"/>
      <c r="IXB38" s="1001"/>
      <c r="IXC38" s="1001"/>
      <c r="IXD38" s="1001"/>
      <c r="IXE38" s="1001"/>
      <c r="IXF38" s="1001"/>
      <c r="IXG38" s="1001"/>
      <c r="IXH38" s="1001"/>
      <c r="IXI38" s="1001"/>
      <c r="IXJ38" s="1001"/>
      <c r="IXK38" s="1001"/>
      <c r="IXL38" s="1001"/>
      <c r="IXM38" s="1001"/>
      <c r="IXN38" s="1001"/>
      <c r="IXO38" s="1001"/>
      <c r="IXP38" s="1001"/>
      <c r="IXQ38" s="1001"/>
      <c r="IXR38" s="1001"/>
      <c r="IXS38" s="1001"/>
      <c r="IXT38" s="1001"/>
      <c r="IXU38" s="1001"/>
      <c r="IXV38" s="1001"/>
      <c r="IXW38" s="1001"/>
      <c r="IXX38" s="1001"/>
      <c r="IXY38" s="1001"/>
      <c r="IXZ38" s="1001"/>
      <c r="IYA38" s="1001"/>
      <c r="IYB38" s="1001"/>
      <c r="IYC38" s="1001"/>
      <c r="IYD38" s="1001"/>
      <c r="IYE38" s="1001"/>
      <c r="IYF38" s="1001"/>
      <c r="IYG38" s="1001"/>
      <c r="IYH38" s="1001"/>
      <c r="IYI38" s="1001"/>
      <c r="IYJ38" s="1001"/>
      <c r="IYK38" s="1001"/>
      <c r="IYL38" s="1001"/>
      <c r="IYM38" s="1001"/>
      <c r="IYN38" s="1001"/>
      <c r="IYO38" s="1001"/>
      <c r="IYP38" s="1001"/>
      <c r="IYQ38" s="1001"/>
      <c r="IYR38" s="1001"/>
      <c r="IYS38" s="1001"/>
      <c r="IYT38" s="1001"/>
      <c r="IYU38" s="1001"/>
      <c r="IYV38" s="1001"/>
      <c r="IYW38" s="1001"/>
      <c r="IYX38" s="1001"/>
      <c r="IYY38" s="1001"/>
      <c r="IYZ38" s="1001"/>
      <c r="IZA38" s="1001"/>
      <c r="IZB38" s="1001"/>
      <c r="IZC38" s="1001"/>
      <c r="IZD38" s="1001"/>
      <c r="IZE38" s="1001"/>
      <c r="IZF38" s="1001"/>
      <c r="IZG38" s="1001"/>
      <c r="IZH38" s="1001"/>
      <c r="IZI38" s="1001"/>
      <c r="IZJ38" s="1001"/>
      <c r="IZK38" s="1001"/>
      <c r="IZL38" s="1001"/>
      <c r="IZM38" s="1001"/>
      <c r="IZN38" s="1001"/>
      <c r="IZO38" s="1001"/>
      <c r="IZP38" s="1001"/>
      <c r="IZQ38" s="1001"/>
      <c r="IZR38" s="1001"/>
      <c r="IZS38" s="1001"/>
      <c r="IZT38" s="1001"/>
      <c r="IZU38" s="1001"/>
      <c r="IZV38" s="1001"/>
      <c r="IZW38" s="1001"/>
      <c r="IZX38" s="1001"/>
      <c r="IZY38" s="1001"/>
      <c r="IZZ38" s="1001"/>
      <c r="JAA38" s="1001"/>
      <c r="JAB38" s="1001"/>
      <c r="JAC38" s="1001"/>
      <c r="JAD38" s="1001"/>
      <c r="JAE38" s="1001"/>
      <c r="JAF38" s="1001"/>
      <c r="JAG38" s="1001"/>
      <c r="JAH38" s="1001"/>
      <c r="JAI38" s="1001"/>
      <c r="JAJ38" s="1001"/>
      <c r="JAK38" s="1001"/>
      <c r="JAL38" s="1001"/>
      <c r="JAM38" s="1001"/>
      <c r="JAN38" s="1001"/>
      <c r="JAO38" s="1001"/>
      <c r="JAP38" s="1001"/>
      <c r="JAQ38" s="1001"/>
      <c r="JAR38" s="1001"/>
      <c r="JAS38" s="1001"/>
      <c r="JAT38" s="1001"/>
      <c r="JAU38" s="1001"/>
      <c r="JAV38" s="1001"/>
      <c r="JAW38" s="1001"/>
      <c r="JAX38" s="1001"/>
      <c r="JAY38" s="1001"/>
      <c r="JAZ38" s="1001"/>
      <c r="JBA38" s="1001"/>
      <c r="JBB38" s="1001"/>
      <c r="JBC38" s="1001"/>
      <c r="JBD38" s="1001"/>
      <c r="JBE38" s="1001"/>
      <c r="JBF38" s="1001"/>
      <c r="JBG38" s="1001"/>
      <c r="JBH38" s="1001"/>
      <c r="JBI38" s="1001"/>
      <c r="JBJ38" s="1001"/>
      <c r="JBK38" s="1001"/>
      <c r="JBL38" s="1001"/>
      <c r="JBM38" s="1001"/>
      <c r="JBN38" s="1001"/>
      <c r="JBO38" s="1001"/>
      <c r="JBP38" s="1001"/>
      <c r="JBQ38" s="1001"/>
      <c r="JBR38" s="1001"/>
      <c r="JBS38" s="1001"/>
      <c r="JBT38" s="1001"/>
      <c r="JBU38" s="1001"/>
      <c r="JBV38" s="1001"/>
      <c r="JBW38" s="1001"/>
      <c r="JBX38" s="1001"/>
      <c r="JBY38" s="1001"/>
      <c r="JBZ38" s="1001"/>
      <c r="JCA38" s="1001"/>
      <c r="JCB38" s="1001"/>
      <c r="JCC38" s="1001"/>
      <c r="JCD38" s="1001"/>
      <c r="JCE38" s="1001"/>
      <c r="JCF38" s="1001"/>
      <c r="JCG38" s="1001"/>
      <c r="JCH38" s="1001"/>
      <c r="JCI38" s="1001"/>
      <c r="JCJ38" s="1001"/>
      <c r="JCK38" s="1001"/>
      <c r="JCL38" s="1001"/>
      <c r="JCM38" s="1001"/>
      <c r="JCN38" s="1001"/>
      <c r="JCO38" s="1001"/>
      <c r="JCP38" s="1001"/>
      <c r="JCQ38" s="1001"/>
      <c r="JCR38" s="1001"/>
      <c r="JCS38" s="1001"/>
      <c r="JCT38" s="1001"/>
      <c r="JCU38" s="1001"/>
      <c r="JCV38" s="1001"/>
      <c r="JCW38" s="1001"/>
      <c r="JCX38" s="1001"/>
      <c r="JCY38" s="1001"/>
      <c r="JCZ38" s="1001"/>
      <c r="JDA38" s="1001"/>
      <c r="JDB38" s="1001"/>
      <c r="JDC38" s="1001"/>
      <c r="JDD38" s="1001"/>
      <c r="JDE38" s="1001"/>
      <c r="JDF38" s="1001"/>
      <c r="JDG38" s="1001"/>
      <c r="JDH38" s="1001"/>
      <c r="JDI38" s="1001"/>
      <c r="JDJ38" s="1001"/>
      <c r="JDK38" s="1001"/>
      <c r="JDL38" s="1001"/>
      <c r="JDM38" s="1001"/>
      <c r="JDN38" s="1001"/>
      <c r="JDO38" s="1001"/>
      <c r="JDP38" s="1001"/>
      <c r="JDQ38" s="1001"/>
      <c r="JDR38" s="1001"/>
      <c r="JDS38" s="1001"/>
      <c r="JDT38" s="1001"/>
      <c r="JDU38" s="1001"/>
      <c r="JDV38" s="1001"/>
      <c r="JDW38" s="1001"/>
      <c r="JDX38" s="1001"/>
      <c r="JDY38" s="1001"/>
      <c r="JDZ38" s="1001"/>
      <c r="JEA38" s="1001"/>
      <c r="JEB38" s="1001"/>
      <c r="JEC38" s="1001"/>
      <c r="JED38" s="1001"/>
      <c r="JEE38" s="1001"/>
      <c r="JEF38" s="1001"/>
      <c r="JEG38" s="1001"/>
      <c r="JEH38" s="1001"/>
      <c r="JEI38" s="1001"/>
      <c r="JEJ38" s="1001"/>
      <c r="JEK38" s="1001"/>
      <c r="JEL38" s="1001"/>
      <c r="JEM38" s="1001"/>
      <c r="JEN38" s="1001"/>
      <c r="JEO38" s="1001"/>
      <c r="JEP38" s="1001"/>
      <c r="JEQ38" s="1001"/>
      <c r="JER38" s="1001"/>
      <c r="JES38" s="1001"/>
      <c r="JET38" s="1001"/>
      <c r="JEU38" s="1001"/>
      <c r="JEV38" s="1001"/>
      <c r="JEW38" s="1001"/>
      <c r="JEX38" s="1001"/>
      <c r="JEY38" s="1001"/>
      <c r="JEZ38" s="1001"/>
      <c r="JFA38" s="1001"/>
      <c r="JFB38" s="1001"/>
      <c r="JFC38" s="1001"/>
      <c r="JFD38" s="1001"/>
      <c r="JFE38" s="1001"/>
      <c r="JFF38" s="1001"/>
      <c r="JFG38" s="1001"/>
      <c r="JFH38" s="1001"/>
      <c r="JFI38" s="1001"/>
      <c r="JFJ38" s="1001"/>
      <c r="JFK38" s="1001"/>
      <c r="JFL38" s="1001"/>
      <c r="JFM38" s="1001"/>
      <c r="JFN38" s="1001"/>
      <c r="JFO38" s="1001"/>
      <c r="JFP38" s="1001"/>
      <c r="JFQ38" s="1001"/>
      <c r="JFR38" s="1001"/>
      <c r="JFS38" s="1001"/>
      <c r="JFT38" s="1001"/>
      <c r="JFU38" s="1001"/>
      <c r="JFV38" s="1001"/>
      <c r="JFW38" s="1001"/>
      <c r="JFX38" s="1001"/>
      <c r="JFY38" s="1001"/>
      <c r="JFZ38" s="1001"/>
      <c r="JGA38" s="1001"/>
      <c r="JGB38" s="1001"/>
      <c r="JGC38" s="1001"/>
      <c r="JGD38" s="1001"/>
      <c r="JGE38" s="1001"/>
      <c r="JGF38" s="1001"/>
      <c r="JGG38" s="1001"/>
      <c r="JGH38" s="1001"/>
      <c r="JGI38" s="1001"/>
      <c r="JGJ38" s="1001"/>
      <c r="JGK38" s="1001"/>
      <c r="JGL38" s="1001"/>
      <c r="JGM38" s="1001"/>
      <c r="JGN38" s="1001"/>
      <c r="JGO38" s="1001"/>
      <c r="JGP38" s="1001"/>
      <c r="JGQ38" s="1001"/>
      <c r="JGR38" s="1001"/>
      <c r="JGS38" s="1001"/>
      <c r="JGT38" s="1001"/>
      <c r="JGU38" s="1001"/>
      <c r="JGV38" s="1001"/>
      <c r="JGW38" s="1001"/>
      <c r="JGX38" s="1001"/>
      <c r="JGY38" s="1001"/>
      <c r="JGZ38" s="1001"/>
      <c r="JHA38" s="1001"/>
      <c r="JHB38" s="1001"/>
      <c r="JHC38" s="1001"/>
      <c r="JHD38" s="1001"/>
      <c r="JHE38" s="1001"/>
      <c r="JHF38" s="1001"/>
      <c r="JHG38" s="1001"/>
      <c r="JHH38" s="1001"/>
      <c r="JHI38" s="1001"/>
      <c r="JHJ38" s="1001"/>
      <c r="JHK38" s="1001"/>
      <c r="JHL38" s="1001"/>
      <c r="JHM38" s="1001"/>
      <c r="JHN38" s="1001"/>
      <c r="JHO38" s="1001"/>
      <c r="JHP38" s="1001"/>
      <c r="JHQ38" s="1001"/>
      <c r="JHR38" s="1001"/>
      <c r="JHS38" s="1001"/>
      <c r="JHT38" s="1001"/>
      <c r="JHU38" s="1001"/>
      <c r="JHV38" s="1001"/>
      <c r="JHW38" s="1001"/>
      <c r="JHX38" s="1001"/>
      <c r="JHY38" s="1001"/>
      <c r="JHZ38" s="1001"/>
      <c r="JIA38" s="1001"/>
      <c r="JIB38" s="1001"/>
      <c r="JIC38" s="1001"/>
      <c r="JID38" s="1001"/>
      <c r="JIE38" s="1001"/>
      <c r="JIF38" s="1001"/>
      <c r="JIG38" s="1001"/>
      <c r="JIH38" s="1001"/>
      <c r="JII38" s="1001"/>
      <c r="JIJ38" s="1001"/>
      <c r="JIK38" s="1001"/>
      <c r="JIL38" s="1001"/>
      <c r="JIM38" s="1001"/>
      <c r="JIN38" s="1001"/>
      <c r="JIO38" s="1001"/>
      <c r="JIP38" s="1001"/>
      <c r="JIQ38" s="1001"/>
      <c r="JIR38" s="1001"/>
      <c r="JIS38" s="1001"/>
      <c r="JIT38" s="1001"/>
      <c r="JIU38" s="1001"/>
      <c r="JIV38" s="1001"/>
      <c r="JIW38" s="1001"/>
      <c r="JIX38" s="1001"/>
      <c r="JIY38" s="1001"/>
      <c r="JIZ38" s="1001"/>
      <c r="JJA38" s="1001"/>
      <c r="JJB38" s="1001"/>
      <c r="JJC38" s="1001"/>
      <c r="JJD38" s="1001"/>
      <c r="JJE38" s="1001"/>
      <c r="JJF38" s="1001"/>
      <c r="JJG38" s="1001"/>
      <c r="JJH38" s="1001"/>
      <c r="JJI38" s="1001"/>
      <c r="JJJ38" s="1001"/>
      <c r="JJK38" s="1001"/>
      <c r="JJL38" s="1001"/>
      <c r="JJM38" s="1001"/>
      <c r="JJN38" s="1001"/>
      <c r="JJO38" s="1001"/>
      <c r="JJP38" s="1001"/>
      <c r="JJQ38" s="1001"/>
      <c r="JJR38" s="1001"/>
      <c r="JJS38" s="1001"/>
      <c r="JJT38" s="1001"/>
      <c r="JJU38" s="1001"/>
      <c r="JJV38" s="1001"/>
      <c r="JJW38" s="1001"/>
      <c r="JJX38" s="1001"/>
      <c r="JJY38" s="1001"/>
      <c r="JJZ38" s="1001"/>
      <c r="JKA38" s="1001"/>
      <c r="JKB38" s="1001"/>
      <c r="JKC38" s="1001"/>
      <c r="JKD38" s="1001"/>
      <c r="JKE38" s="1001"/>
      <c r="JKF38" s="1001"/>
      <c r="JKG38" s="1001"/>
      <c r="JKH38" s="1001"/>
      <c r="JKI38" s="1001"/>
      <c r="JKJ38" s="1001"/>
      <c r="JKK38" s="1001"/>
      <c r="JKL38" s="1001"/>
      <c r="JKM38" s="1001"/>
      <c r="JKN38" s="1001"/>
      <c r="JKO38" s="1001"/>
      <c r="JKP38" s="1001"/>
      <c r="JKQ38" s="1001"/>
      <c r="JKR38" s="1001"/>
      <c r="JKS38" s="1001"/>
      <c r="JKT38" s="1001"/>
      <c r="JKU38" s="1001"/>
      <c r="JKV38" s="1001"/>
      <c r="JKW38" s="1001"/>
      <c r="JKX38" s="1001"/>
      <c r="JKY38" s="1001"/>
      <c r="JKZ38" s="1001"/>
      <c r="JLA38" s="1001"/>
      <c r="JLB38" s="1001"/>
      <c r="JLC38" s="1001"/>
      <c r="JLD38" s="1001"/>
      <c r="JLE38" s="1001"/>
      <c r="JLF38" s="1001"/>
      <c r="JLG38" s="1001"/>
      <c r="JLH38" s="1001"/>
      <c r="JLI38" s="1001"/>
      <c r="JLJ38" s="1001"/>
      <c r="JLK38" s="1001"/>
      <c r="JLL38" s="1001"/>
      <c r="JLM38" s="1001"/>
      <c r="JLN38" s="1001"/>
      <c r="JLO38" s="1001"/>
      <c r="JLP38" s="1001"/>
      <c r="JLQ38" s="1001"/>
      <c r="JLR38" s="1001"/>
      <c r="JLS38" s="1001"/>
      <c r="JLT38" s="1001"/>
      <c r="JLU38" s="1001"/>
      <c r="JLV38" s="1001"/>
      <c r="JLW38" s="1001"/>
      <c r="JLX38" s="1001"/>
      <c r="JLY38" s="1001"/>
      <c r="JLZ38" s="1001"/>
      <c r="JMA38" s="1001"/>
      <c r="JMB38" s="1001"/>
      <c r="JMC38" s="1001"/>
      <c r="JMD38" s="1001"/>
      <c r="JME38" s="1001"/>
      <c r="JMF38" s="1001"/>
      <c r="JMG38" s="1001"/>
      <c r="JMH38" s="1001"/>
      <c r="JMI38" s="1001"/>
      <c r="JMJ38" s="1001"/>
      <c r="JMK38" s="1001"/>
      <c r="JML38" s="1001"/>
      <c r="JMM38" s="1001"/>
      <c r="JMN38" s="1001"/>
      <c r="JMO38" s="1001"/>
      <c r="JMP38" s="1001"/>
      <c r="JMQ38" s="1001"/>
      <c r="JMR38" s="1001"/>
      <c r="JMS38" s="1001"/>
      <c r="JMT38" s="1001"/>
      <c r="JMU38" s="1001"/>
      <c r="JMV38" s="1001"/>
      <c r="JMW38" s="1001"/>
      <c r="JMX38" s="1001"/>
      <c r="JMY38" s="1001"/>
      <c r="JMZ38" s="1001"/>
      <c r="JNA38" s="1001"/>
      <c r="JNB38" s="1001"/>
      <c r="JNC38" s="1001"/>
      <c r="JND38" s="1001"/>
      <c r="JNE38" s="1001"/>
      <c r="JNF38" s="1001"/>
      <c r="JNG38" s="1001"/>
      <c r="JNH38" s="1001"/>
      <c r="JNI38" s="1001"/>
      <c r="JNJ38" s="1001"/>
      <c r="JNK38" s="1001"/>
      <c r="JNL38" s="1001"/>
      <c r="JNM38" s="1001"/>
      <c r="JNN38" s="1001"/>
      <c r="JNO38" s="1001"/>
      <c r="JNP38" s="1001"/>
      <c r="JNQ38" s="1001"/>
      <c r="JNR38" s="1001"/>
      <c r="JNS38" s="1001"/>
      <c r="JNT38" s="1001"/>
      <c r="JNU38" s="1001"/>
      <c r="JNV38" s="1001"/>
      <c r="JNW38" s="1001"/>
      <c r="JNX38" s="1001"/>
      <c r="JNY38" s="1001"/>
      <c r="JNZ38" s="1001"/>
      <c r="JOA38" s="1001"/>
      <c r="JOB38" s="1001"/>
      <c r="JOC38" s="1001"/>
      <c r="JOD38" s="1001"/>
      <c r="JOE38" s="1001"/>
      <c r="JOF38" s="1001"/>
      <c r="JOG38" s="1001"/>
      <c r="JOH38" s="1001"/>
      <c r="JOI38" s="1001"/>
      <c r="JOJ38" s="1001"/>
      <c r="JOK38" s="1001"/>
      <c r="JOL38" s="1001"/>
      <c r="JOM38" s="1001"/>
      <c r="JON38" s="1001"/>
      <c r="JOO38" s="1001"/>
      <c r="JOP38" s="1001"/>
      <c r="JOQ38" s="1001"/>
      <c r="JOR38" s="1001"/>
      <c r="JOS38" s="1001"/>
      <c r="JOT38" s="1001"/>
      <c r="JOU38" s="1001"/>
      <c r="JOV38" s="1001"/>
      <c r="JOW38" s="1001"/>
      <c r="JOX38" s="1001"/>
      <c r="JOY38" s="1001"/>
      <c r="JOZ38" s="1001"/>
      <c r="JPA38" s="1001"/>
      <c r="JPB38" s="1001"/>
      <c r="JPC38" s="1001"/>
      <c r="JPD38" s="1001"/>
      <c r="JPE38" s="1001"/>
      <c r="JPF38" s="1001"/>
      <c r="JPG38" s="1001"/>
      <c r="JPH38" s="1001"/>
      <c r="JPI38" s="1001"/>
      <c r="JPJ38" s="1001"/>
      <c r="JPK38" s="1001"/>
      <c r="JPL38" s="1001"/>
      <c r="JPM38" s="1001"/>
      <c r="JPN38" s="1001"/>
      <c r="JPO38" s="1001"/>
      <c r="JPP38" s="1001"/>
      <c r="JPQ38" s="1001"/>
      <c r="JPR38" s="1001"/>
      <c r="JPS38" s="1001"/>
      <c r="JPT38" s="1001"/>
      <c r="JPU38" s="1001"/>
      <c r="JPV38" s="1001"/>
      <c r="JPW38" s="1001"/>
      <c r="JPX38" s="1001"/>
      <c r="JPY38" s="1001"/>
      <c r="JPZ38" s="1001"/>
      <c r="JQA38" s="1001"/>
      <c r="JQB38" s="1001"/>
      <c r="JQC38" s="1001"/>
      <c r="JQD38" s="1001"/>
      <c r="JQE38" s="1001"/>
      <c r="JQF38" s="1001"/>
      <c r="JQG38" s="1001"/>
      <c r="JQH38" s="1001"/>
      <c r="JQI38" s="1001"/>
      <c r="JQJ38" s="1001"/>
      <c r="JQK38" s="1001"/>
      <c r="JQL38" s="1001"/>
      <c r="JQM38" s="1001"/>
      <c r="JQN38" s="1001"/>
      <c r="JQO38" s="1001"/>
      <c r="JQP38" s="1001"/>
      <c r="JQQ38" s="1001"/>
      <c r="JQR38" s="1001"/>
      <c r="JQS38" s="1001"/>
      <c r="JQT38" s="1001"/>
      <c r="JQU38" s="1001"/>
      <c r="JQV38" s="1001"/>
      <c r="JQW38" s="1001"/>
      <c r="JQX38" s="1001"/>
      <c r="JQY38" s="1001"/>
      <c r="JQZ38" s="1001"/>
      <c r="JRA38" s="1001"/>
      <c r="JRB38" s="1001"/>
      <c r="JRC38" s="1001"/>
      <c r="JRD38" s="1001"/>
      <c r="JRE38" s="1001"/>
      <c r="JRF38" s="1001"/>
      <c r="JRG38" s="1001"/>
      <c r="JRH38" s="1001"/>
      <c r="JRI38" s="1001"/>
      <c r="JRJ38" s="1001"/>
      <c r="JRK38" s="1001"/>
      <c r="JRL38" s="1001"/>
      <c r="JRM38" s="1001"/>
      <c r="JRN38" s="1001"/>
      <c r="JRO38" s="1001"/>
      <c r="JRP38" s="1001"/>
      <c r="JRQ38" s="1001"/>
      <c r="JRR38" s="1001"/>
      <c r="JRS38" s="1001"/>
      <c r="JRT38" s="1001"/>
      <c r="JRU38" s="1001"/>
      <c r="JRV38" s="1001"/>
      <c r="JRW38" s="1001"/>
      <c r="JRX38" s="1001"/>
      <c r="JRY38" s="1001"/>
      <c r="JRZ38" s="1001"/>
      <c r="JSA38" s="1001"/>
      <c r="JSB38" s="1001"/>
      <c r="JSC38" s="1001"/>
      <c r="JSD38" s="1001"/>
      <c r="JSE38" s="1001"/>
      <c r="JSF38" s="1001"/>
      <c r="JSG38" s="1001"/>
      <c r="JSH38" s="1001"/>
      <c r="JSI38" s="1001"/>
      <c r="JSJ38" s="1001"/>
      <c r="JSK38" s="1001"/>
      <c r="JSL38" s="1001"/>
      <c r="JSM38" s="1001"/>
      <c r="JSN38" s="1001"/>
      <c r="JSO38" s="1001"/>
      <c r="JSP38" s="1001"/>
      <c r="JSQ38" s="1001"/>
      <c r="JSR38" s="1001"/>
      <c r="JSS38" s="1001"/>
      <c r="JST38" s="1001"/>
      <c r="JSU38" s="1001"/>
      <c r="JSV38" s="1001"/>
      <c r="JSW38" s="1001"/>
      <c r="JSX38" s="1001"/>
      <c r="JSY38" s="1001"/>
      <c r="JSZ38" s="1001"/>
      <c r="JTA38" s="1001"/>
      <c r="JTB38" s="1001"/>
      <c r="JTC38" s="1001"/>
      <c r="JTD38" s="1001"/>
      <c r="JTE38" s="1001"/>
      <c r="JTF38" s="1001"/>
      <c r="JTG38" s="1001"/>
      <c r="JTH38" s="1001"/>
      <c r="JTI38" s="1001"/>
      <c r="JTJ38" s="1001"/>
      <c r="JTK38" s="1001"/>
      <c r="JTL38" s="1001"/>
      <c r="JTM38" s="1001"/>
      <c r="JTN38" s="1001"/>
      <c r="JTO38" s="1001"/>
      <c r="JTP38" s="1001"/>
      <c r="JTQ38" s="1001"/>
      <c r="JTR38" s="1001"/>
      <c r="JTS38" s="1001"/>
      <c r="JTT38" s="1001"/>
      <c r="JTU38" s="1001"/>
      <c r="JTV38" s="1001"/>
      <c r="JTW38" s="1001"/>
      <c r="JTX38" s="1001"/>
      <c r="JTY38" s="1001"/>
      <c r="JTZ38" s="1001"/>
      <c r="JUA38" s="1001"/>
      <c r="JUB38" s="1001"/>
      <c r="JUC38" s="1001"/>
      <c r="JUD38" s="1001"/>
      <c r="JUE38" s="1001"/>
      <c r="JUF38" s="1001"/>
      <c r="JUG38" s="1001"/>
      <c r="JUH38" s="1001"/>
      <c r="JUI38" s="1001"/>
      <c r="JUJ38" s="1001"/>
      <c r="JUK38" s="1001"/>
      <c r="JUL38" s="1001"/>
      <c r="JUM38" s="1001"/>
      <c r="JUN38" s="1001"/>
      <c r="JUO38" s="1001"/>
      <c r="JUP38" s="1001"/>
      <c r="JUQ38" s="1001"/>
      <c r="JUR38" s="1001"/>
      <c r="JUS38" s="1001"/>
      <c r="JUT38" s="1001"/>
      <c r="JUU38" s="1001"/>
      <c r="JUV38" s="1001"/>
      <c r="JUW38" s="1001"/>
      <c r="JUX38" s="1001"/>
      <c r="JUY38" s="1001"/>
      <c r="JUZ38" s="1001"/>
      <c r="JVA38" s="1001"/>
      <c r="JVB38" s="1001"/>
      <c r="JVC38" s="1001"/>
      <c r="JVD38" s="1001"/>
      <c r="JVE38" s="1001"/>
      <c r="JVF38" s="1001"/>
      <c r="JVG38" s="1001"/>
      <c r="JVH38" s="1001"/>
      <c r="JVI38" s="1001"/>
      <c r="JVJ38" s="1001"/>
      <c r="JVK38" s="1001"/>
      <c r="JVL38" s="1001"/>
      <c r="JVM38" s="1001"/>
      <c r="JVN38" s="1001"/>
      <c r="JVO38" s="1001"/>
      <c r="JVP38" s="1001"/>
      <c r="JVQ38" s="1001"/>
      <c r="JVR38" s="1001"/>
      <c r="JVS38" s="1001"/>
      <c r="JVT38" s="1001"/>
      <c r="JVU38" s="1001"/>
      <c r="JVV38" s="1001"/>
      <c r="JVW38" s="1001"/>
      <c r="JVX38" s="1001"/>
      <c r="JVY38" s="1001"/>
      <c r="JVZ38" s="1001"/>
      <c r="JWA38" s="1001"/>
      <c r="JWB38" s="1001"/>
      <c r="JWC38" s="1001"/>
      <c r="JWD38" s="1001"/>
      <c r="JWE38" s="1001"/>
      <c r="JWF38" s="1001"/>
      <c r="JWG38" s="1001"/>
      <c r="JWH38" s="1001"/>
      <c r="JWI38" s="1001"/>
      <c r="JWJ38" s="1001"/>
      <c r="JWK38" s="1001"/>
      <c r="JWL38" s="1001"/>
      <c r="JWM38" s="1001"/>
      <c r="JWN38" s="1001"/>
      <c r="JWO38" s="1001"/>
      <c r="JWP38" s="1001"/>
      <c r="JWQ38" s="1001"/>
      <c r="JWR38" s="1001"/>
      <c r="JWS38" s="1001"/>
      <c r="JWT38" s="1001"/>
      <c r="JWU38" s="1001"/>
      <c r="JWV38" s="1001"/>
      <c r="JWW38" s="1001"/>
      <c r="JWX38" s="1001"/>
      <c r="JWY38" s="1001"/>
      <c r="JWZ38" s="1001"/>
      <c r="JXA38" s="1001"/>
      <c r="JXB38" s="1001"/>
      <c r="JXC38" s="1001"/>
      <c r="JXD38" s="1001"/>
      <c r="JXE38" s="1001"/>
      <c r="JXF38" s="1001"/>
      <c r="JXG38" s="1001"/>
      <c r="JXH38" s="1001"/>
      <c r="JXI38" s="1001"/>
      <c r="JXJ38" s="1001"/>
      <c r="JXK38" s="1001"/>
      <c r="JXL38" s="1001"/>
      <c r="JXM38" s="1001"/>
      <c r="JXN38" s="1001"/>
      <c r="JXO38" s="1001"/>
      <c r="JXP38" s="1001"/>
      <c r="JXQ38" s="1001"/>
      <c r="JXR38" s="1001"/>
      <c r="JXS38" s="1001"/>
      <c r="JXT38" s="1001"/>
      <c r="JXU38" s="1001"/>
      <c r="JXV38" s="1001"/>
      <c r="JXW38" s="1001"/>
      <c r="JXX38" s="1001"/>
      <c r="JXY38" s="1001"/>
      <c r="JXZ38" s="1001"/>
      <c r="JYA38" s="1001"/>
      <c r="JYB38" s="1001"/>
      <c r="JYC38" s="1001"/>
      <c r="JYD38" s="1001"/>
      <c r="JYE38" s="1001"/>
      <c r="JYF38" s="1001"/>
      <c r="JYG38" s="1001"/>
      <c r="JYH38" s="1001"/>
      <c r="JYI38" s="1001"/>
      <c r="JYJ38" s="1001"/>
      <c r="JYK38" s="1001"/>
      <c r="JYL38" s="1001"/>
      <c r="JYM38" s="1001"/>
      <c r="JYN38" s="1001"/>
      <c r="JYO38" s="1001"/>
      <c r="JYP38" s="1001"/>
      <c r="JYQ38" s="1001"/>
      <c r="JYR38" s="1001"/>
      <c r="JYS38" s="1001"/>
      <c r="JYT38" s="1001"/>
      <c r="JYU38" s="1001"/>
      <c r="JYV38" s="1001"/>
      <c r="JYW38" s="1001"/>
      <c r="JYX38" s="1001"/>
      <c r="JYY38" s="1001"/>
      <c r="JYZ38" s="1001"/>
      <c r="JZA38" s="1001"/>
      <c r="JZB38" s="1001"/>
      <c r="JZC38" s="1001"/>
      <c r="JZD38" s="1001"/>
      <c r="JZE38" s="1001"/>
      <c r="JZF38" s="1001"/>
      <c r="JZG38" s="1001"/>
      <c r="JZH38" s="1001"/>
      <c r="JZI38" s="1001"/>
      <c r="JZJ38" s="1001"/>
      <c r="JZK38" s="1001"/>
      <c r="JZL38" s="1001"/>
      <c r="JZM38" s="1001"/>
      <c r="JZN38" s="1001"/>
      <c r="JZO38" s="1001"/>
      <c r="JZP38" s="1001"/>
      <c r="JZQ38" s="1001"/>
      <c r="JZR38" s="1001"/>
      <c r="JZS38" s="1001"/>
      <c r="JZT38" s="1001"/>
      <c r="JZU38" s="1001"/>
      <c r="JZV38" s="1001"/>
      <c r="JZW38" s="1001"/>
      <c r="JZX38" s="1001"/>
      <c r="JZY38" s="1001"/>
      <c r="JZZ38" s="1001"/>
      <c r="KAA38" s="1001"/>
      <c r="KAB38" s="1001"/>
      <c r="KAC38" s="1001"/>
      <c r="KAD38" s="1001"/>
      <c r="KAE38" s="1001"/>
      <c r="KAF38" s="1001"/>
      <c r="KAG38" s="1001"/>
      <c r="KAH38" s="1001"/>
      <c r="KAI38" s="1001"/>
      <c r="KAJ38" s="1001"/>
      <c r="KAK38" s="1001"/>
      <c r="KAL38" s="1001"/>
      <c r="KAM38" s="1001"/>
      <c r="KAN38" s="1001"/>
      <c r="KAO38" s="1001"/>
      <c r="KAP38" s="1001"/>
      <c r="KAQ38" s="1001"/>
      <c r="KAR38" s="1001"/>
      <c r="KAS38" s="1001"/>
      <c r="KAT38" s="1001"/>
      <c r="KAU38" s="1001"/>
      <c r="KAV38" s="1001"/>
      <c r="KAW38" s="1001"/>
      <c r="KAX38" s="1001"/>
      <c r="KAY38" s="1001"/>
      <c r="KAZ38" s="1001"/>
      <c r="KBA38" s="1001"/>
      <c r="KBB38" s="1001"/>
      <c r="KBC38" s="1001"/>
      <c r="KBD38" s="1001"/>
      <c r="KBE38" s="1001"/>
      <c r="KBF38" s="1001"/>
      <c r="KBG38" s="1001"/>
      <c r="KBH38" s="1001"/>
      <c r="KBI38" s="1001"/>
      <c r="KBJ38" s="1001"/>
      <c r="KBK38" s="1001"/>
      <c r="KBL38" s="1001"/>
      <c r="KBM38" s="1001"/>
      <c r="KBN38" s="1001"/>
      <c r="KBO38" s="1001"/>
      <c r="KBP38" s="1001"/>
      <c r="KBQ38" s="1001"/>
      <c r="KBR38" s="1001"/>
      <c r="KBS38" s="1001"/>
      <c r="KBT38" s="1001"/>
      <c r="KBU38" s="1001"/>
      <c r="KBV38" s="1001"/>
      <c r="KBW38" s="1001"/>
      <c r="KBX38" s="1001"/>
      <c r="KBY38" s="1001"/>
      <c r="KBZ38" s="1001"/>
      <c r="KCA38" s="1001"/>
      <c r="KCB38" s="1001"/>
      <c r="KCC38" s="1001"/>
      <c r="KCD38" s="1001"/>
      <c r="KCE38" s="1001"/>
      <c r="KCF38" s="1001"/>
      <c r="KCG38" s="1001"/>
      <c r="KCH38" s="1001"/>
      <c r="KCI38" s="1001"/>
      <c r="KCJ38" s="1001"/>
      <c r="KCK38" s="1001"/>
      <c r="KCL38" s="1001"/>
      <c r="KCM38" s="1001"/>
      <c r="KCN38" s="1001"/>
      <c r="KCO38" s="1001"/>
      <c r="KCP38" s="1001"/>
      <c r="KCQ38" s="1001"/>
      <c r="KCR38" s="1001"/>
      <c r="KCS38" s="1001"/>
      <c r="KCT38" s="1001"/>
      <c r="KCU38" s="1001"/>
      <c r="KCV38" s="1001"/>
      <c r="KCW38" s="1001"/>
      <c r="KCX38" s="1001"/>
      <c r="KCY38" s="1001"/>
      <c r="KCZ38" s="1001"/>
      <c r="KDA38" s="1001"/>
      <c r="KDB38" s="1001"/>
      <c r="KDC38" s="1001"/>
      <c r="KDD38" s="1001"/>
      <c r="KDE38" s="1001"/>
      <c r="KDF38" s="1001"/>
      <c r="KDG38" s="1001"/>
      <c r="KDH38" s="1001"/>
      <c r="KDI38" s="1001"/>
      <c r="KDJ38" s="1001"/>
      <c r="KDK38" s="1001"/>
      <c r="KDL38" s="1001"/>
      <c r="KDM38" s="1001"/>
      <c r="KDN38" s="1001"/>
      <c r="KDO38" s="1001"/>
      <c r="KDP38" s="1001"/>
      <c r="KDQ38" s="1001"/>
      <c r="KDR38" s="1001"/>
      <c r="KDS38" s="1001"/>
      <c r="KDT38" s="1001"/>
      <c r="KDU38" s="1001"/>
      <c r="KDV38" s="1001"/>
      <c r="KDW38" s="1001"/>
      <c r="KDX38" s="1001"/>
      <c r="KDY38" s="1001"/>
      <c r="KDZ38" s="1001"/>
      <c r="KEA38" s="1001"/>
      <c r="KEB38" s="1001"/>
      <c r="KEC38" s="1001"/>
      <c r="KED38" s="1001"/>
      <c r="KEE38" s="1001"/>
      <c r="KEF38" s="1001"/>
      <c r="KEG38" s="1001"/>
      <c r="KEH38" s="1001"/>
      <c r="KEI38" s="1001"/>
      <c r="KEJ38" s="1001"/>
      <c r="KEK38" s="1001"/>
      <c r="KEL38" s="1001"/>
      <c r="KEM38" s="1001"/>
      <c r="KEN38" s="1001"/>
      <c r="KEO38" s="1001"/>
      <c r="KEP38" s="1001"/>
      <c r="KEQ38" s="1001"/>
      <c r="KER38" s="1001"/>
      <c r="KES38" s="1001"/>
      <c r="KET38" s="1001"/>
      <c r="KEU38" s="1001"/>
      <c r="KEV38" s="1001"/>
      <c r="KEW38" s="1001"/>
      <c r="KEX38" s="1001"/>
      <c r="KEY38" s="1001"/>
      <c r="KEZ38" s="1001"/>
      <c r="KFA38" s="1001"/>
      <c r="KFB38" s="1001"/>
      <c r="KFC38" s="1001"/>
      <c r="KFD38" s="1001"/>
      <c r="KFE38" s="1001"/>
      <c r="KFF38" s="1001"/>
      <c r="KFG38" s="1001"/>
      <c r="KFH38" s="1001"/>
      <c r="KFI38" s="1001"/>
      <c r="KFJ38" s="1001"/>
      <c r="KFK38" s="1001"/>
      <c r="KFL38" s="1001"/>
      <c r="KFM38" s="1001"/>
      <c r="KFN38" s="1001"/>
      <c r="KFO38" s="1001"/>
      <c r="KFP38" s="1001"/>
      <c r="KFQ38" s="1001"/>
      <c r="KFR38" s="1001"/>
      <c r="KFS38" s="1001"/>
      <c r="KFT38" s="1001"/>
      <c r="KFU38" s="1001"/>
      <c r="KFV38" s="1001"/>
      <c r="KFW38" s="1001"/>
      <c r="KFX38" s="1001"/>
      <c r="KFY38" s="1001"/>
      <c r="KFZ38" s="1001"/>
      <c r="KGA38" s="1001"/>
      <c r="KGB38" s="1001"/>
      <c r="KGC38" s="1001"/>
      <c r="KGD38" s="1001"/>
      <c r="KGE38" s="1001"/>
      <c r="KGF38" s="1001"/>
      <c r="KGG38" s="1001"/>
      <c r="KGH38" s="1001"/>
      <c r="KGI38" s="1001"/>
      <c r="KGJ38" s="1001"/>
      <c r="KGK38" s="1001"/>
      <c r="KGL38" s="1001"/>
      <c r="KGM38" s="1001"/>
      <c r="KGN38" s="1001"/>
      <c r="KGO38" s="1001"/>
      <c r="KGP38" s="1001"/>
      <c r="KGQ38" s="1001"/>
      <c r="KGR38" s="1001"/>
      <c r="KGS38" s="1001"/>
      <c r="KGT38" s="1001"/>
      <c r="KGU38" s="1001"/>
      <c r="KGV38" s="1001"/>
      <c r="KGW38" s="1001"/>
      <c r="KGX38" s="1001"/>
      <c r="KGY38" s="1001"/>
      <c r="KGZ38" s="1001"/>
      <c r="KHA38" s="1001"/>
      <c r="KHB38" s="1001"/>
      <c r="KHC38" s="1001"/>
      <c r="KHD38" s="1001"/>
      <c r="KHE38" s="1001"/>
      <c r="KHF38" s="1001"/>
      <c r="KHG38" s="1001"/>
      <c r="KHH38" s="1001"/>
      <c r="KHI38" s="1001"/>
      <c r="KHJ38" s="1001"/>
      <c r="KHK38" s="1001"/>
      <c r="KHL38" s="1001"/>
      <c r="KHM38" s="1001"/>
      <c r="KHN38" s="1001"/>
      <c r="KHO38" s="1001"/>
      <c r="KHP38" s="1001"/>
      <c r="KHQ38" s="1001"/>
      <c r="KHR38" s="1001"/>
      <c r="KHS38" s="1001"/>
      <c r="KHT38" s="1001"/>
      <c r="KHU38" s="1001"/>
      <c r="KHV38" s="1001"/>
      <c r="KHW38" s="1001"/>
      <c r="KHX38" s="1001"/>
      <c r="KHY38" s="1001"/>
      <c r="KHZ38" s="1001"/>
      <c r="KIA38" s="1001"/>
      <c r="KIB38" s="1001"/>
      <c r="KIC38" s="1001"/>
      <c r="KID38" s="1001"/>
      <c r="KIE38" s="1001"/>
      <c r="KIF38" s="1001"/>
      <c r="KIG38" s="1001"/>
      <c r="KIH38" s="1001"/>
      <c r="KII38" s="1001"/>
      <c r="KIJ38" s="1001"/>
      <c r="KIK38" s="1001"/>
      <c r="KIL38" s="1001"/>
      <c r="KIM38" s="1001"/>
      <c r="KIN38" s="1001"/>
      <c r="KIO38" s="1001"/>
      <c r="KIP38" s="1001"/>
      <c r="KIQ38" s="1001"/>
      <c r="KIR38" s="1001"/>
      <c r="KIS38" s="1001"/>
      <c r="KIT38" s="1001"/>
      <c r="KIU38" s="1001"/>
      <c r="KIV38" s="1001"/>
      <c r="KIW38" s="1001"/>
      <c r="KIX38" s="1001"/>
      <c r="KIY38" s="1001"/>
      <c r="KIZ38" s="1001"/>
      <c r="KJA38" s="1001"/>
      <c r="KJB38" s="1001"/>
      <c r="KJC38" s="1001"/>
      <c r="KJD38" s="1001"/>
      <c r="KJE38" s="1001"/>
      <c r="KJF38" s="1001"/>
      <c r="KJG38" s="1001"/>
      <c r="KJH38" s="1001"/>
      <c r="KJI38" s="1001"/>
      <c r="KJJ38" s="1001"/>
      <c r="KJK38" s="1001"/>
      <c r="KJL38" s="1001"/>
      <c r="KJM38" s="1001"/>
      <c r="KJN38" s="1001"/>
      <c r="KJO38" s="1001"/>
      <c r="KJP38" s="1001"/>
      <c r="KJQ38" s="1001"/>
      <c r="KJR38" s="1001"/>
      <c r="KJS38" s="1001"/>
      <c r="KJT38" s="1001"/>
      <c r="KJU38" s="1001"/>
      <c r="KJV38" s="1001"/>
      <c r="KJW38" s="1001"/>
      <c r="KJX38" s="1001"/>
      <c r="KJY38" s="1001"/>
      <c r="KJZ38" s="1001"/>
      <c r="KKA38" s="1001"/>
      <c r="KKB38" s="1001"/>
      <c r="KKC38" s="1001"/>
      <c r="KKD38" s="1001"/>
      <c r="KKE38" s="1001"/>
      <c r="KKF38" s="1001"/>
      <c r="KKG38" s="1001"/>
      <c r="KKH38" s="1001"/>
      <c r="KKI38" s="1001"/>
      <c r="KKJ38" s="1001"/>
      <c r="KKK38" s="1001"/>
      <c r="KKL38" s="1001"/>
      <c r="KKM38" s="1001"/>
      <c r="KKN38" s="1001"/>
      <c r="KKO38" s="1001"/>
      <c r="KKP38" s="1001"/>
      <c r="KKQ38" s="1001"/>
      <c r="KKR38" s="1001"/>
      <c r="KKS38" s="1001"/>
      <c r="KKT38" s="1001"/>
      <c r="KKU38" s="1001"/>
      <c r="KKV38" s="1001"/>
      <c r="KKW38" s="1001"/>
      <c r="KKX38" s="1001"/>
      <c r="KKY38" s="1001"/>
      <c r="KKZ38" s="1001"/>
      <c r="KLA38" s="1001"/>
      <c r="KLB38" s="1001"/>
      <c r="KLC38" s="1001"/>
      <c r="KLD38" s="1001"/>
      <c r="KLE38" s="1001"/>
      <c r="KLF38" s="1001"/>
      <c r="KLG38" s="1001"/>
      <c r="KLH38" s="1001"/>
      <c r="KLI38" s="1001"/>
      <c r="KLJ38" s="1001"/>
      <c r="KLK38" s="1001"/>
      <c r="KLL38" s="1001"/>
      <c r="KLM38" s="1001"/>
      <c r="KLN38" s="1001"/>
      <c r="KLO38" s="1001"/>
      <c r="KLP38" s="1001"/>
      <c r="KLQ38" s="1001"/>
      <c r="KLR38" s="1001"/>
      <c r="KLS38" s="1001"/>
      <c r="KLT38" s="1001"/>
      <c r="KLU38" s="1001"/>
      <c r="KLV38" s="1001"/>
      <c r="KLW38" s="1001"/>
      <c r="KLX38" s="1001"/>
      <c r="KLY38" s="1001"/>
      <c r="KLZ38" s="1001"/>
      <c r="KMA38" s="1001"/>
      <c r="KMB38" s="1001"/>
      <c r="KMC38" s="1001"/>
      <c r="KMD38" s="1001"/>
      <c r="KME38" s="1001"/>
      <c r="KMF38" s="1001"/>
      <c r="KMG38" s="1001"/>
      <c r="KMH38" s="1001"/>
      <c r="KMI38" s="1001"/>
      <c r="KMJ38" s="1001"/>
      <c r="KMK38" s="1001"/>
      <c r="KML38" s="1001"/>
      <c r="KMM38" s="1001"/>
      <c r="KMN38" s="1001"/>
      <c r="KMO38" s="1001"/>
      <c r="KMP38" s="1001"/>
      <c r="KMQ38" s="1001"/>
      <c r="KMR38" s="1001"/>
      <c r="KMS38" s="1001"/>
      <c r="KMT38" s="1001"/>
      <c r="KMU38" s="1001"/>
      <c r="KMV38" s="1001"/>
      <c r="KMW38" s="1001"/>
      <c r="KMX38" s="1001"/>
      <c r="KMY38" s="1001"/>
      <c r="KMZ38" s="1001"/>
      <c r="KNA38" s="1001"/>
      <c r="KNB38" s="1001"/>
      <c r="KNC38" s="1001"/>
      <c r="KND38" s="1001"/>
      <c r="KNE38" s="1001"/>
      <c r="KNF38" s="1001"/>
      <c r="KNG38" s="1001"/>
      <c r="KNH38" s="1001"/>
      <c r="KNI38" s="1001"/>
      <c r="KNJ38" s="1001"/>
      <c r="KNK38" s="1001"/>
      <c r="KNL38" s="1001"/>
      <c r="KNM38" s="1001"/>
      <c r="KNN38" s="1001"/>
      <c r="KNO38" s="1001"/>
      <c r="KNP38" s="1001"/>
      <c r="KNQ38" s="1001"/>
      <c r="KNR38" s="1001"/>
      <c r="KNS38" s="1001"/>
      <c r="KNT38" s="1001"/>
      <c r="KNU38" s="1001"/>
      <c r="KNV38" s="1001"/>
      <c r="KNW38" s="1001"/>
      <c r="KNX38" s="1001"/>
      <c r="KNY38" s="1001"/>
      <c r="KNZ38" s="1001"/>
      <c r="KOA38" s="1001"/>
      <c r="KOB38" s="1001"/>
      <c r="KOC38" s="1001"/>
      <c r="KOD38" s="1001"/>
      <c r="KOE38" s="1001"/>
      <c r="KOF38" s="1001"/>
      <c r="KOG38" s="1001"/>
      <c r="KOH38" s="1001"/>
      <c r="KOI38" s="1001"/>
      <c r="KOJ38" s="1001"/>
      <c r="KOK38" s="1001"/>
      <c r="KOL38" s="1001"/>
      <c r="KOM38" s="1001"/>
      <c r="KON38" s="1001"/>
      <c r="KOO38" s="1001"/>
      <c r="KOP38" s="1001"/>
      <c r="KOQ38" s="1001"/>
      <c r="KOR38" s="1001"/>
      <c r="KOS38" s="1001"/>
      <c r="KOT38" s="1001"/>
      <c r="KOU38" s="1001"/>
      <c r="KOV38" s="1001"/>
      <c r="KOW38" s="1001"/>
      <c r="KOX38" s="1001"/>
      <c r="KOY38" s="1001"/>
      <c r="KOZ38" s="1001"/>
      <c r="KPA38" s="1001"/>
      <c r="KPB38" s="1001"/>
      <c r="KPC38" s="1001"/>
      <c r="KPD38" s="1001"/>
      <c r="KPE38" s="1001"/>
      <c r="KPF38" s="1001"/>
      <c r="KPG38" s="1001"/>
      <c r="KPH38" s="1001"/>
      <c r="KPI38" s="1001"/>
      <c r="KPJ38" s="1001"/>
      <c r="KPK38" s="1001"/>
      <c r="KPL38" s="1001"/>
      <c r="KPM38" s="1001"/>
      <c r="KPN38" s="1001"/>
      <c r="KPO38" s="1001"/>
      <c r="KPP38" s="1001"/>
      <c r="KPQ38" s="1001"/>
      <c r="KPR38" s="1001"/>
      <c r="KPS38" s="1001"/>
      <c r="KPT38" s="1001"/>
      <c r="KPU38" s="1001"/>
      <c r="KPV38" s="1001"/>
      <c r="KPW38" s="1001"/>
      <c r="KPX38" s="1001"/>
      <c r="KPY38" s="1001"/>
      <c r="KPZ38" s="1001"/>
      <c r="KQA38" s="1001"/>
      <c r="KQB38" s="1001"/>
      <c r="KQC38" s="1001"/>
      <c r="KQD38" s="1001"/>
      <c r="KQE38" s="1001"/>
      <c r="KQF38" s="1001"/>
      <c r="KQG38" s="1001"/>
      <c r="KQH38" s="1001"/>
      <c r="KQI38" s="1001"/>
      <c r="KQJ38" s="1001"/>
      <c r="KQK38" s="1001"/>
      <c r="KQL38" s="1001"/>
      <c r="KQM38" s="1001"/>
      <c r="KQN38" s="1001"/>
      <c r="KQO38" s="1001"/>
      <c r="KQP38" s="1001"/>
      <c r="KQQ38" s="1001"/>
      <c r="KQR38" s="1001"/>
      <c r="KQS38" s="1001"/>
      <c r="KQT38" s="1001"/>
      <c r="KQU38" s="1001"/>
      <c r="KQV38" s="1001"/>
      <c r="KQW38" s="1001"/>
      <c r="KQX38" s="1001"/>
      <c r="KQY38" s="1001"/>
      <c r="KQZ38" s="1001"/>
      <c r="KRA38" s="1001"/>
      <c r="KRB38" s="1001"/>
      <c r="KRC38" s="1001"/>
      <c r="KRD38" s="1001"/>
      <c r="KRE38" s="1001"/>
      <c r="KRF38" s="1001"/>
      <c r="KRG38" s="1001"/>
      <c r="KRH38" s="1001"/>
      <c r="KRI38" s="1001"/>
      <c r="KRJ38" s="1001"/>
      <c r="KRK38" s="1001"/>
      <c r="KRL38" s="1001"/>
      <c r="KRM38" s="1001"/>
      <c r="KRN38" s="1001"/>
      <c r="KRO38" s="1001"/>
      <c r="KRP38" s="1001"/>
      <c r="KRQ38" s="1001"/>
      <c r="KRR38" s="1001"/>
      <c r="KRS38" s="1001"/>
      <c r="KRT38" s="1001"/>
      <c r="KRU38" s="1001"/>
      <c r="KRV38" s="1001"/>
      <c r="KRW38" s="1001"/>
      <c r="KRX38" s="1001"/>
      <c r="KRY38" s="1001"/>
      <c r="KRZ38" s="1001"/>
      <c r="KSA38" s="1001"/>
      <c r="KSB38" s="1001"/>
      <c r="KSC38" s="1001"/>
      <c r="KSD38" s="1001"/>
      <c r="KSE38" s="1001"/>
      <c r="KSF38" s="1001"/>
      <c r="KSG38" s="1001"/>
      <c r="KSH38" s="1001"/>
      <c r="KSI38" s="1001"/>
      <c r="KSJ38" s="1001"/>
      <c r="KSK38" s="1001"/>
      <c r="KSL38" s="1001"/>
      <c r="KSM38" s="1001"/>
      <c r="KSN38" s="1001"/>
      <c r="KSO38" s="1001"/>
      <c r="KSP38" s="1001"/>
      <c r="KSQ38" s="1001"/>
      <c r="KSR38" s="1001"/>
      <c r="KSS38" s="1001"/>
      <c r="KST38" s="1001"/>
      <c r="KSU38" s="1001"/>
      <c r="KSV38" s="1001"/>
      <c r="KSW38" s="1001"/>
      <c r="KSX38" s="1001"/>
      <c r="KSY38" s="1001"/>
      <c r="KSZ38" s="1001"/>
      <c r="KTA38" s="1001"/>
      <c r="KTB38" s="1001"/>
      <c r="KTC38" s="1001"/>
      <c r="KTD38" s="1001"/>
      <c r="KTE38" s="1001"/>
      <c r="KTF38" s="1001"/>
      <c r="KTG38" s="1001"/>
      <c r="KTH38" s="1001"/>
      <c r="KTI38" s="1001"/>
      <c r="KTJ38" s="1001"/>
      <c r="KTK38" s="1001"/>
      <c r="KTL38" s="1001"/>
      <c r="KTM38" s="1001"/>
      <c r="KTN38" s="1001"/>
      <c r="KTO38" s="1001"/>
      <c r="KTP38" s="1001"/>
      <c r="KTQ38" s="1001"/>
      <c r="KTR38" s="1001"/>
      <c r="KTS38" s="1001"/>
      <c r="KTT38" s="1001"/>
      <c r="KTU38" s="1001"/>
      <c r="KTV38" s="1001"/>
      <c r="KTW38" s="1001"/>
      <c r="KTX38" s="1001"/>
      <c r="KTY38" s="1001"/>
      <c r="KTZ38" s="1001"/>
      <c r="KUA38" s="1001"/>
      <c r="KUB38" s="1001"/>
      <c r="KUC38" s="1001"/>
      <c r="KUD38" s="1001"/>
      <c r="KUE38" s="1001"/>
      <c r="KUF38" s="1001"/>
      <c r="KUG38" s="1001"/>
      <c r="KUH38" s="1001"/>
      <c r="KUI38" s="1001"/>
      <c r="KUJ38" s="1001"/>
      <c r="KUK38" s="1001"/>
      <c r="KUL38" s="1001"/>
      <c r="KUM38" s="1001"/>
      <c r="KUN38" s="1001"/>
      <c r="KUO38" s="1001"/>
      <c r="KUP38" s="1001"/>
      <c r="KUQ38" s="1001"/>
      <c r="KUR38" s="1001"/>
      <c r="KUS38" s="1001"/>
      <c r="KUT38" s="1001"/>
      <c r="KUU38" s="1001"/>
      <c r="KUV38" s="1001"/>
      <c r="KUW38" s="1001"/>
      <c r="KUX38" s="1001"/>
      <c r="KUY38" s="1001"/>
      <c r="KUZ38" s="1001"/>
      <c r="KVA38" s="1001"/>
      <c r="KVB38" s="1001"/>
      <c r="KVC38" s="1001"/>
      <c r="KVD38" s="1001"/>
      <c r="KVE38" s="1001"/>
      <c r="KVF38" s="1001"/>
      <c r="KVG38" s="1001"/>
      <c r="KVH38" s="1001"/>
      <c r="KVI38" s="1001"/>
      <c r="KVJ38" s="1001"/>
      <c r="KVK38" s="1001"/>
      <c r="KVL38" s="1001"/>
      <c r="KVM38" s="1001"/>
      <c r="KVN38" s="1001"/>
      <c r="KVO38" s="1001"/>
      <c r="KVP38" s="1001"/>
      <c r="KVQ38" s="1001"/>
      <c r="KVR38" s="1001"/>
      <c r="KVS38" s="1001"/>
      <c r="KVT38" s="1001"/>
      <c r="KVU38" s="1001"/>
      <c r="KVV38" s="1001"/>
      <c r="KVW38" s="1001"/>
      <c r="KVX38" s="1001"/>
      <c r="KVY38" s="1001"/>
      <c r="KVZ38" s="1001"/>
      <c r="KWA38" s="1001"/>
      <c r="KWB38" s="1001"/>
      <c r="KWC38" s="1001"/>
      <c r="KWD38" s="1001"/>
      <c r="KWE38" s="1001"/>
      <c r="KWF38" s="1001"/>
      <c r="KWG38" s="1001"/>
      <c r="KWH38" s="1001"/>
      <c r="KWI38" s="1001"/>
      <c r="KWJ38" s="1001"/>
      <c r="KWK38" s="1001"/>
      <c r="KWL38" s="1001"/>
      <c r="KWM38" s="1001"/>
      <c r="KWN38" s="1001"/>
      <c r="KWO38" s="1001"/>
      <c r="KWP38" s="1001"/>
      <c r="KWQ38" s="1001"/>
      <c r="KWR38" s="1001"/>
      <c r="KWS38" s="1001"/>
      <c r="KWT38" s="1001"/>
      <c r="KWU38" s="1001"/>
      <c r="KWV38" s="1001"/>
      <c r="KWW38" s="1001"/>
      <c r="KWX38" s="1001"/>
      <c r="KWY38" s="1001"/>
      <c r="KWZ38" s="1001"/>
      <c r="KXA38" s="1001"/>
      <c r="KXB38" s="1001"/>
      <c r="KXC38" s="1001"/>
      <c r="KXD38" s="1001"/>
      <c r="KXE38" s="1001"/>
      <c r="KXF38" s="1001"/>
      <c r="KXG38" s="1001"/>
      <c r="KXH38" s="1001"/>
      <c r="KXI38" s="1001"/>
      <c r="KXJ38" s="1001"/>
      <c r="KXK38" s="1001"/>
      <c r="KXL38" s="1001"/>
      <c r="KXM38" s="1001"/>
      <c r="KXN38" s="1001"/>
      <c r="KXO38" s="1001"/>
      <c r="KXP38" s="1001"/>
      <c r="KXQ38" s="1001"/>
      <c r="KXR38" s="1001"/>
      <c r="KXS38" s="1001"/>
      <c r="KXT38" s="1001"/>
      <c r="KXU38" s="1001"/>
      <c r="KXV38" s="1001"/>
      <c r="KXW38" s="1001"/>
      <c r="KXX38" s="1001"/>
      <c r="KXY38" s="1001"/>
      <c r="KXZ38" s="1001"/>
      <c r="KYA38" s="1001"/>
      <c r="KYB38" s="1001"/>
      <c r="KYC38" s="1001"/>
      <c r="KYD38" s="1001"/>
      <c r="KYE38" s="1001"/>
      <c r="KYF38" s="1001"/>
      <c r="KYG38" s="1001"/>
      <c r="KYH38" s="1001"/>
      <c r="KYI38" s="1001"/>
      <c r="KYJ38" s="1001"/>
      <c r="KYK38" s="1001"/>
      <c r="KYL38" s="1001"/>
      <c r="KYM38" s="1001"/>
      <c r="KYN38" s="1001"/>
      <c r="KYO38" s="1001"/>
      <c r="KYP38" s="1001"/>
      <c r="KYQ38" s="1001"/>
      <c r="KYR38" s="1001"/>
      <c r="KYS38" s="1001"/>
      <c r="KYT38" s="1001"/>
      <c r="KYU38" s="1001"/>
      <c r="KYV38" s="1001"/>
      <c r="KYW38" s="1001"/>
      <c r="KYX38" s="1001"/>
      <c r="KYY38" s="1001"/>
      <c r="KYZ38" s="1001"/>
      <c r="KZA38" s="1001"/>
      <c r="KZB38" s="1001"/>
      <c r="KZC38" s="1001"/>
      <c r="KZD38" s="1001"/>
      <c r="KZE38" s="1001"/>
      <c r="KZF38" s="1001"/>
      <c r="KZG38" s="1001"/>
      <c r="KZH38" s="1001"/>
      <c r="KZI38" s="1001"/>
      <c r="KZJ38" s="1001"/>
      <c r="KZK38" s="1001"/>
      <c r="KZL38" s="1001"/>
      <c r="KZM38" s="1001"/>
      <c r="KZN38" s="1001"/>
      <c r="KZO38" s="1001"/>
      <c r="KZP38" s="1001"/>
      <c r="KZQ38" s="1001"/>
      <c r="KZR38" s="1001"/>
      <c r="KZS38" s="1001"/>
      <c r="KZT38" s="1001"/>
      <c r="KZU38" s="1001"/>
      <c r="KZV38" s="1001"/>
      <c r="KZW38" s="1001"/>
      <c r="KZX38" s="1001"/>
      <c r="KZY38" s="1001"/>
      <c r="KZZ38" s="1001"/>
      <c r="LAA38" s="1001"/>
      <c r="LAB38" s="1001"/>
      <c r="LAC38" s="1001"/>
      <c r="LAD38" s="1001"/>
      <c r="LAE38" s="1001"/>
      <c r="LAF38" s="1001"/>
      <c r="LAG38" s="1001"/>
      <c r="LAH38" s="1001"/>
      <c r="LAI38" s="1001"/>
      <c r="LAJ38" s="1001"/>
      <c r="LAK38" s="1001"/>
      <c r="LAL38" s="1001"/>
      <c r="LAM38" s="1001"/>
      <c r="LAN38" s="1001"/>
      <c r="LAO38" s="1001"/>
      <c r="LAP38" s="1001"/>
      <c r="LAQ38" s="1001"/>
      <c r="LAR38" s="1001"/>
      <c r="LAS38" s="1001"/>
      <c r="LAT38" s="1001"/>
      <c r="LAU38" s="1001"/>
      <c r="LAV38" s="1001"/>
      <c r="LAW38" s="1001"/>
      <c r="LAX38" s="1001"/>
      <c r="LAY38" s="1001"/>
      <c r="LAZ38" s="1001"/>
      <c r="LBA38" s="1001"/>
      <c r="LBB38" s="1001"/>
      <c r="LBC38" s="1001"/>
      <c r="LBD38" s="1001"/>
      <c r="LBE38" s="1001"/>
      <c r="LBF38" s="1001"/>
      <c r="LBG38" s="1001"/>
      <c r="LBH38" s="1001"/>
      <c r="LBI38" s="1001"/>
      <c r="LBJ38" s="1001"/>
      <c r="LBK38" s="1001"/>
      <c r="LBL38" s="1001"/>
      <c r="LBM38" s="1001"/>
      <c r="LBN38" s="1001"/>
      <c r="LBO38" s="1001"/>
      <c r="LBP38" s="1001"/>
      <c r="LBQ38" s="1001"/>
      <c r="LBR38" s="1001"/>
      <c r="LBS38" s="1001"/>
      <c r="LBT38" s="1001"/>
      <c r="LBU38" s="1001"/>
      <c r="LBV38" s="1001"/>
      <c r="LBW38" s="1001"/>
      <c r="LBX38" s="1001"/>
      <c r="LBY38" s="1001"/>
      <c r="LBZ38" s="1001"/>
      <c r="LCA38" s="1001"/>
      <c r="LCB38" s="1001"/>
      <c r="LCC38" s="1001"/>
      <c r="LCD38" s="1001"/>
      <c r="LCE38" s="1001"/>
      <c r="LCF38" s="1001"/>
      <c r="LCG38" s="1001"/>
      <c r="LCH38" s="1001"/>
      <c r="LCI38" s="1001"/>
      <c r="LCJ38" s="1001"/>
      <c r="LCK38" s="1001"/>
      <c r="LCL38" s="1001"/>
      <c r="LCM38" s="1001"/>
      <c r="LCN38" s="1001"/>
      <c r="LCO38" s="1001"/>
      <c r="LCP38" s="1001"/>
      <c r="LCQ38" s="1001"/>
      <c r="LCR38" s="1001"/>
      <c r="LCS38" s="1001"/>
      <c r="LCT38" s="1001"/>
      <c r="LCU38" s="1001"/>
      <c r="LCV38" s="1001"/>
      <c r="LCW38" s="1001"/>
      <c r="LCX38" s="1001"/>
      <c r="LCY38" s="1001"/>
      <c r="LCZ38" s="1001"/>
      <c r="LDA38" s="1001"/>
      <c r="LDB38" s="1001"/>
      <c r="LDC38" s="1001"/>
      <c r="LDD38" s="1001"/>
      <c r="LDE38" s="1001"/>
      <c r="LDF38" s="1001"/>
      <c r="LDG38" s="1001"/>
      <c r="LDH38" s="1001"/>
      <c r="LDI38" s="1001"/>
      <c r="LDJ38" s="1001"/>
      <c r="LDK38" s="1001"/>
      <c r="LDL38" s="1001"/>
      <c r="LDM38" s="1001"/>
      <c r="LDN38" s="1001"/>
      <c r="LDO38" s="1001"/>
      <c r="LDP38" s="1001"/>
      <c r="LDQ38" s="1001"/>
      <c r="LDR38" s="1001"/>
      <c r="LDS38" s="1001"/>
      <c r="LDT38" s="1001"/>
      <c r="LDU38" s="1001"/>
      <c r="LDV38" s="1001"/>
      <c r="LDW38" s="1001"/>
      <c r="LDX38" s="1001"/>
      <c r="LDY38" s="1001"/>
      <c r="LDZ38" s="1001"/>
      <c r="LEA38" s="1001"/>
      <c r="LEB38" s="1001"/>
      <c r="LEC38" s="1001"/>
      <c r="LED38" s="1001"/>
      <c r="LEE38" s="1001"/>
      <c r="LEF38" s="1001"/>
      <c r="LEG38" s="1001"/>
      <c r="LEH38" s="1001"/>
      <c r="LEI38" s="1001"/>
      <c r="LEJ38" s="1001"/>
      <c r="LEK38" s="1001"/>
      <c r="LEL38" s="1001"/>
      <c r="LEM38" s="1001"/>
      <c r="LEN38" s="1001"/>
      <c r="LEO38" s="1001"/>
      <c r="LEP38" s="1001"/>
      <c r="LEQ38" s="1001"/>
      <c r="LER38" s="1001"/>
      <c r="LES38" s="1001"/>
      <c r="LET38" s="1001"/>
      <c r="LEU38" s="1001"/>
      <c r="LEV38" s="1001"/>
      <c r="LEW38" s="1001"/>
      <c r="LEX38" s="1001"/>
      <c r="LEY38" s="1001"/>
      <c r="LEZ38" s="1001"/>
      <c r="LFA38" s="1001"/>
      <c r="LFB38" s="1001"/>
      <c r="LFC38" s="1001"/>
      <c r="LFD38" s="1001"/>
      <c r="LFE38" s="1001"/>
      <c r="LFF38" s="1001"/>
      <c r="LFG38" s="1001"/>
      <c r="LFH38" s="1001"/>
      <c r="LFI38" s="1001"/>
      <c r="LFJ38" s="1001"/>
      <c r="LFK38" s="1001"/>
      <c r="LFL38" s="1001"/>
      <c r="LFM38" s="1001"/>
      <c r="LFN38" s="1001"/>
      <c r="LFO38" s="1001"/>
      <c r="LFP38" s="1001"/>
      <c r="LFQ38" s="1001"/>
      <c r="LFR38" s="1001"/>
      <c r="LFS38" s="1001"/>
      <c r="LFT38" s="1001"/>
      <c r="LFU38" s="1001"/>
      <c r="LFV38" s="1001"/>
      <c r="LFW38" s="1001"/>
      <c r="LFX38" s="1001"/>
      <c r="LFY38" s="1001"/>
      <c r="LFZ38" s="1001"/>
      <c r="LGA38" s="1001"/>
      <c r="LGB38" s="1001"/>
      <c r="LGC38" s="1001"/>
      <c r="LGD38" s="1001"/>
      <c r="LGE38" s="1001"/>
      <c r="LGF38" s="1001"/>
      <c r="LGG38" s="1001"/>
      <c r="LGH38" s="1001"/>
      <c r="LGI38" s="1001"/>
      <c r="LGJ38" s="1001"/>
      <c r="LGK38" s="1001"/>
      <c r="LGL38" s="1001"/>
      <c r="LGM38" s="1001"/>
      <c r="LGN38" s="1001"/>
      <c r="LGO38" s="1001"/>
      <c r="LGP38" s="1001"/>
      <c r="LGQ38" s="1001"/>
      <c r="LGR38" s="1001"/>
      <c r="LGS38" s="1001"/>
      <c r="LGT38" s="1001"/>
      <c r="LGU38" s="1001"/>
      <c r="LGV38" s="1001"/>
      <c r="LGW38" s="1001"/>
      <c r="LGX38" s="1001"/>
      <c r="LGY38" s="1001"/>
      <c r="LGZ38" s="1001"/>
      <c r="LHA38" s="1001"/>
      <c r="LHB38" s="1001"/>
      <c r="LHC38" s="1001"/>
      <c r="LHD38" s="1001"/>
      <c r="LHE38" s="1001"/>
      <c r="LHF38" s="1001"/>
      <c r="LHG38" s="1001"/>
      <c r="LHH38" s="1001"/>
      <c r="LHI38" s="1001"/>
      <c r="LHJ38" s="1001"/>
      <c r="LHK38" s="1001"/>
      <c r="LHL38" s="1001"/>
      <c r="LHM38" s="1001"/>
      <c r="LHN38" s="1001"/>
      <c r="LHO38" s="1001"/>
      <c r="LHP38" s="1001"/>
      <c r="LHQ38" s="1001"/>
      <c r="LHR38" s="1001"/>
      <c r="LHS38" s="1001"/>
      <c r="LHT38" s="1001"/>
      <c r="LHU38" s="1001"/>
      <c r="LHV38" s="1001"/>
      <c r="LHW38" s="1001"/>
      <c r="LHX38" s="1001"/>
      <c r="LHY38" s="1001"/>
      <c r="LHZ38" s="1001"/>
      <c r="LIA38" s="1001"/>
      <c r="LIB38" s="1001"/>
      <c r="LIC38" s="1001"/>
      <c r="LID38" s="1001"/>
      <c r="LIE38" s="1001"/>
      <c r="LIF38" s="1001"/>
      <c r="LIG38" s="1001"/>
      <c r="LIH38" s="1001"/>
      <c r="LII38" s="1001"/>
      <c r="LIJ38" s="1001"/>
      <c r="LIK38" s="1001"/>
      <c r="LIL38" s="1001"/>
      <c r="LIM38" s="1001"/>
      <c r="LIN38" s="1001"/>
      <c r="LIO38" s="1001"/>
      <c r="LIP38" s="1001"/>
      <c r="LIQ38" s="1001"/>
      <c r="LIR38" s="1001"/>
      <c r="LIS38" s="1001"/>
      <c r="LIT38" s="1001"/>
      <c r="LIU38" s="1001"/>
      <c r="LIV38" s="1001"/>
      <c r="LIW38" s="1001"/>
      <c r="LIX38" s="1001"/>
      <c r="LIY38" s="1001"/>
      <c r="LIZ38" s="1001"/>
      <c r="LJA38" s="1001"/>
      <c r="LJB38" s="1001"/>
      <c r="LJC38" s="1001"/>
      <c r="LJD38" s="1001"/>
      <c r="LJE38" s="1001"/>
      <c r="LJF38" s="1001"/>
      <c r="LJG38" s="1001"/>
      <c r="LJH38" s="1001"/>
      <c r="LJI38" s="1001"/>
      <c r="LJJ38" s="1001"/>
      <c r="LJK38" s="1001"/>
      <c r="LJL38" s="1001"/>
      <c r="LJM38" s="1001"/>
      <c r="LJN38" s="1001"/>
      <c r="LJO38" s="1001"/>
      <c r="LJP38" s="1001"/>
      <c r="LJQ38" s="1001"/>
      <c r="LJR38" s="1001"/>
      <c r="LJS38" s="1001"/>
      <c r="LJT38" s="1001"/>
      <c r="LJU38" s="1001"/>
      <c r="LJV38" s="1001"/>
      <c r="LJW38" s="1001"/>
      <c r="LJX38" s="1001"/>
      <c r="LJY38" s="1001"/>
      <c r="LJZ38" s="1001"/>
      <c r="LKA38" s="1001"/>
      <c r="LKB38" s="1001"/>
      <c r="LKC38" s="1001"/>
      <c r="LKD38" s="1001"/>
      <c r="LKE38" s="1001"/>
      <c r="LKF38" s="1001"/>
      <c r="LKG38" s="1001"/>
      <c r="LKH38" s="1001"/>
      <c r="LKI38" s="1001"/>
      <c r="LKJ38" s="1001"/>
      <c r="LKK38" s="1001"/>
      <c r="LKL38" s="1001"/>
      <c r="LKM38" s="1001"/>
      <c r="LKN38" s="1001"/>
      <c r="LKO38" s="1001"/>
      <c r="LKP38" s="1001"/>
      <c r="LKQ38" s="1001"/>
      <c r="LKR38" s="1001"/>
      <c r="LKS38" s="1001"/>
      <c r="LKT38" s="1001"/>
      <c r="LKU38" s="1001"/>
      <c r="LKV38" s="1001"/>
      <c r="LKW38" s="1001"/>
      <c r="LKX38" s="1001"/>
      <c r="LKY38" s="1001"/>
      <c r="LKZ38" s="1001"/>
      <c r="LLA38" s="1001"/>
      <c r="LLB38" s="1001"/>
      <c r="LLC38" s="1001"/>
      <c r="LLD38" s="1001"/>
      <c r="LLE38" s="1001"/>
      <c r="LLF38" s="1001"/>
      <c r="LLG38" s="1001"/>
      <c r="LLH38" s="1001"/>
      <c r="LLI38" s="1001"/>
      <c r="LLJ38" s="1001"/>
      <c r="LLK38" s="1001"/>
      <c r="LLL38" s="1001"/>
      <c r="LLM38" s="1001"/>
      <c r="LLN38" s="1001"/>
      <c r="LLO38" s="1001"/>
      <c r="LLP38" s="1001"/>
      <c r="LLQ38" s="1001"/>
      <c r="LLR38" s="1001"/>
      <c r="LLS38" s="1001"/>
      <c r="LLT38" s="1001"/>
      <c r="LLU38" s="1001"/>
      <c r="LLV38" s="1001"/>
      <c r="LLW38" s="1001"/>
      <c r="LLX38" s="1001"/>
      <c r="LLY38" s="1001"/>
      <c r="LLZ38" s="1001"/>
      <c r="LMA38" s="1001"/>
      <c r="LMB38" s="1001"/>
      <c r="LMC38" s="1001"/>
      <c r="LMD38" s="1001"/>
      <c r="LME38" s="1001"/>
      <c r="LMF38" s="1001"/>
      <c r="LMG38" s="1001"/>
      <c r="LMH38" s="1001"/>
      <c r="LMI38" s="1001"/>
      <c r="LMJ38" s="1001"/>
      <c r="LMK38" s="1001"/>
      <c r="LML38" s="1001"/>
      <c r="LMM38" s="1001"/>
      <c r="LMN38" s="1001"/>
      <c r="LMO38" s="1001"/>
      <c r="LMP38" s="1001"/>
      <c r="LMQ38" s="1001"/>
      <c r="LMR38" s="1001"/>
      <c r="LMS38" s="1001"/>
      <c r="LMT38" s="1001"/>
      <c r="LMU38" s="1001"/>
      <c r="LMV38" s="1001"/>
      <c r="LMW38" s="1001"/>
      <c r="LMX38" s="1001"/>
      <c r="LMY38" s="1001"/>
      <c r="LMZ38" s="1001"/>
      <c r="LNA38" s="1001"/>
      <c r="LNB38" s="1001"/>
      <c r="LNC38" s="1001"/>
      <c r="LND38" s="1001"/>
      <c r="LNE38" s="1001"/>
      <c r="LNF38" s="1001"/>
      <c r="LNG38" s="1001"/>
      <c r="LNH38" s="1001"/>
      <c r="LNI38" s="1001"/>
      <c r="LNJ38" s="1001"/>
      <c r="LNK38" s="1001"/>
      <c r="LNL38" s="1001"/>
      <c r="LNM38" s="1001"/>
      <c r="LNN38" s="1001"/>
      <c r="LNO38" s="1001"/>
      <c r="LNP38" s="1001"/>
      <c r="LNQ38" s="1001"/>
      <c r="LNR38" s="1001"/>
      <c r="LNS38" s="1001"/>
      <c r="LNT38" s="1001"/>
      <c r="LNU38" s="1001"/>
      <c r="LNV38" s="1001"/>
      <c r="LNW38" s="1001"/>
      <c r="LNX38" s="1001"/>
      <c r="LNY38" s="1001"/>
      <c r="LNZ38" s="1001"/>
      <c r="LOA38" s="1001"/>
      <c r="LOB38" s="1001"/>
      <c r="LOC38" s="1001"/>
      <c r="LOD38" s="1001"/>
      <c r="LOE38" s="1001"/>
      <c r="LOF38" s="1001"/>
      <c r="LOG38" s="1001"/>
      <c r="LOH38" s="1001"/>
      <c r="LOI38" s="1001"/>
      <c r="LOJ38" s="1001"/>
      <c r="LOK38" s="1001"/>
      <c r="LOL38" s="1001"/>
      <c r="LOM38" s="1001"/>
      <c r="LON38" s="1001"/>
      <c r="LOO38" s="1001"/>
      <c r="LOP38" s="1001"/>
      <c r="LOQ38" s="1001"/>
      <c r="LOR38" s="1001"/>
      <c r="LOS38" s="1001"/>
      <c r="LOT38" s="1001"/>
      <c r="LOU38" s="1001"/>
      <c r="LOV38" s="1001"/>
      <c r="LOW38" s="1001"/>
      <c r="LOX38" s="1001"/>
      <c r="LOY38" s="1001"/>
      <c r="LOZ38" s="1001"/>
      <c r="LPA38" s="1001"/>
      <c r="LPB38" s="1001"/>
      <c r="LPC38" s="1001"/>
      <c r="LPD38" s="1001"/>
      <c r="LPE38" s="1001"/>
      <c r="LPF38" s="1001"/>
      <c r="LPG38" s="1001"/>
      <c r="LPH38" s="1001"/>
      <c r="LPI38" s="1001"/>
      <c r="LPJ38" s="1001"/>
      <c r="LPK38" s="1001"/>
      <c r="LPL38" s="1001"/>
      <c r="LPM38" s="1001"/>
      <c r="LPN38" s="1001"/>
      <c r="LPO38" s="1001"/>
      <c r="LPP38" s="1001"/>
      <c r="LPQ38" s="1001"/>
      <c r="LPR38" s="1001"/>
      <c r="LPS38" s="1001"/>
      <c r="LPT38" s="1001"/>
      <c r="LPU38" s="1001"/>
      <c r="LPV38" s="1001"/>
      <c r="LPW38" s="1001"/>
      <c r="LPX38" s="1001"/>
      <c r="LPY38" s="1001"/>
      <c r="LPZ38" s="1001"/>
      <c r="LQA38" s="1001"/>
      <c r="LQB38" s="1001"/>
      <c r="LQC38" s="1001"/>
      <c r="LQD38" s="1001"/>
      <c r="LQE38" s="1001"/>
      <c r="LQF38" s="1001"/>
      <c r="LQG38" s="1001"/>
      <c r="LQH38" s="1001"/>
      <c r="LQI38" s="1001"/>
      <c r="LQJ38" s="1001"/>
      <c r="LQK38" s="1001"/>
      <c r="LQL38" s="1001"/>
      <c r="LQM38" s="1001"/>
      <c r="LQN38" s="1001"/>
      <c r="LQO38" s="1001"/>
      <c r="LQP38" s="1001"/>
      <c r="LQQ38" s="1001"/>
      <c r="LQR38" s="1001"/>
      <c r="LQS38" s="1001"/>
      <c r="LQT38" s="1001"/>
      <c r="LQU38" s="1001"/>
      <c r="LQV38" s="1001"/>
      <c r="LQW38" s="1001"/>
      <c r="LQX38" s="1001"/>
      <c r="LQY38" s="1001"/>
      <c r="LQZ38" s="1001"/>
      <c r="LRA38" s="1001"/>
      <c r="LRB38" s="1001"/>
      <c r="LRC38" s="1001"/>
      <c r="LRD38" s="1001"/>
      <c r="LRE38" s="1001"/>
      <c r="LRF38" s="1001"/>
      <c r="LRG38" s="1001"/>
      <c r="LRH38" s="1001"/>
      <c r="LRI38" s="1001"/>
      <c r="LRJ38" s="1001"/>
      <c r="LRK38" s="1001"/>
      <c r="LRL38" s="1001"/>
      <c r="LRM38" s="1001"/>
      <c r="LRN38" s="1001"/>
      <c r="LRO38" s="1001"/>
      <c r="LRP38" s="1001"/>
      <c r="LRQ38" s="1001"/>
      <c r="LRR38" s="1001"/>
      <c r="LRS38" s="1001"/>
      <c r="LRT38" s="1001"/>
      <c r="LRU38" s="1001"/>
      <c r="LRV38" s="1001"/>
      <c r="LRW38" s="1001"/>
      <c r="LRX38" s="1001"/>
      <c r="LRY38" s="1001"/>
      <c r="LRZ38" s="1001"/>
      <c r="LSA38" s="1001"/>
      <c r="LSB38" s="1001"/>
      <c r="LSC38" s="1001"/>
      <c r="LSD38" s="1001"/>
      <c r="LSE38" s="1001"/>
      <c r="LSF38" s="1001"/>
      <c r="LSG38" s="1001"/>
      <c r="LSH38" s="1001"/>
      <c r="LSI38" s="1001"/>
      <c r="LSJ38" s="1001"/>
      <c r="LSK38" s="1001"/>
      <c r="LSL38" s="1001"/>
      <c r="LSM38" s="1001"/>
      <c r="LSN38" s="1001"/>
      <c r="LSO38" s="1001"/>
      <c r="LSP38" s="1001"/>
      <c r="LSQ38" s="1001"/>
      <c r="LSR38" s="1001"/>
      <c r="LSS38" s="1001"/>
      <c r="LST38" s="1001"/>
      <c r="LSU38" s="1001"/>
      <c r="LSV38" s="1001"/>
      <c r="LSW38" s="1001"/>
      <c r="LSX38" s="1001"/>
      <c r="LSY38" s="1001"/>
      <c r="LSZ38" s="1001"/>
      <c r="LTA38" s="1001"/>
      <c r="LTB38" s="1001"/>
      <c r="LTC38" s="1001"/>
      <c r="LTD38" s="1001"/>
      <c r="LTE38" s="1001"/>
      <c r="LTF38" s="1001"/>
      <c r="LTG38" s="1001"/>
      <c r="LTH38" s="1001"/>
      <c r="LTI38" s="1001"/>
      <c r="LTJ38" s="1001"/>
      <c r="LTK38" s="1001"/>
      <c r="LTL38" s="1001"/>
      <c r="LTM38" s="1001"/>
      <c r="LTN38" s="1001"/>
      <c r="LTO38" s="1001"/>
      <c r="LTP38" s="1001"/>
      <c r="LTQ38" s="1001"/>
      <c r="LTR38" s="1001"/>
      <c r="LTS38" s="1001"/>
      <c r="LTT38" s="1001"/>
      <c r="LTU38" s="1001"/>
      <c r="LTV38" s="1001"/>
      <c r="LTW38" s="1001"/>
      <c r="LTX38" s="1001"/>
      <c r="LTY38" s="1001"/>
      <c r="LTZ38" s="1001"/>
      <c r="LUA38" s="1001"/>
      <c r="LUB38" s="1001"/>
      <c r="LUC38" s="1001"/>
      <c r="LUD38" s="1001"/>
      <c r="LUE38" s="1001"/>
      <c r="LUF38" s="1001"/>
      <c r="LUG38" s="1001"/>
      <c r="LUH38" s="1001"/>
      <c r="LUI38" s="1001"/>
      <c r="LUJ38" s="1001"/>
      <c r="LUK38" s="1001"/>
      <c r="LUL38" s="1001"/>
      <c r="LUM38" s="1001"/>
      <c r="LUN38" s="1001"/>
      <c r="LUO38" s="1001"/>
      <c r="LUP38" s="1001"/>
      <c r="LUQ38" s="1001"/>
      <c r="LUR38" s="1001"/>
      <c r="LUS38" s="1001"/>
      <c r="LUT38" s="1001"/>
      <c r="LUU38" s="1001"/>
      <c r="LUV38" s="1001"/>
      <c r="LUW38" s="1001"/>
      <c r="LUX38" s="1001"/>
      <c r="LUY38" s="1001"/>
      <c r="LUZ38" s="1001"/>
      <c r="LVA38" s="1001"/>
      <c r="LVB38" s="1001"/>
      <c r="LVC38" s="1001"/>
      <c r="LVD38" s="1001"/>
      <c r="LVE38" s="1001"/>
      <c r="LVF38" s="1001"/>
      <c r="LVG38" s="1001"/>
      <c r="LVH38" s="1001"/>
      <c r="LVI38" s="1001"/>
      <c r="LVJ38" s="1001"/>
      <c r="LVK38" s="1001"/>
      <c r="LVL38" s="1001"/>
      <c r="LVM38" s="1001"/>
      <c r="LVN38" s="1001"/>
      <c r="LVO38" s="1001"/>
      <c r="LVP38" s="1001"/>
      <c r="LVQ38" s="1001"/>
      <c r="LVR38" s="1001"/>
      <c r="LVS38" s="1001"/>
      <c r="LVT38" s="1001"/>
      <c r="LVU38" s="1001"/>
      <c r="LVV38" s="1001"/>
      <c r="LVW38" s="1001"/>
      <c r="LVX38" s="1001"/>
      <c r="LVY38" s="1001"/>
      <c r="LVZ38" s="1001"/>
      <c r="LWA38" s="1001"/>
      <c r="LWB38" s="1001"/>
      <c r="LWC38" s="1001"/>
      <c r="LWD38" s="1001"/>
      <c r="LWE38" s="1001"/>
      <c r="LWF38" s="1001"/>
      <c r="LWG38" s="1001"/>
      <c r="LWH38" s="1001"/>
      <c r="LWI38" s="1001"/>
      <c r="LWJ38" s="1001"/>
      <c r="LWK38" s="1001"/>
      <c r="LWL38" s="1001"/>
      <c r="LWM38" s="1001"/>
      <c r="LWN38" s="1001"/>
      <c r="LWO38" s="1001"/>
      <c r="LWP38" s="1001"/>
      <c r="LWQ38" s="1001"/>
      <c r="LWR38" s="1001"/>
      <c r="LWS38" s="1001"/>
      <c r="LWT38" s="1001"/>
      <c r="LWU38" s="1001"/>
      <c r="LWV38" s="1001"/>
      <c r="LWW38" s="1001"/>
      <c r="LWX38" s="1001"/>
      <c r="LWY38" s="1001"/>
      <c r="LWZ38" s="1001"/>
      <c r="LXA38" s="1001"/>
      <c r="LXB38" s="1001"/>
      <c r="LXC38" s="1001"/>
      <c r="LXD38" s="1001"/>
      <c r="LXE38" s="1001"/>
      <c r="LXF38" s="1001"/>
      <c r="LXG38" s="1001"/>
      <c r="LXH38" s="1001"/>
      <c r="LXI38" s="1001"/>
      <c r="LXJ38" s="1001"/>
      <c r="LXK38" s="1001"/>
      <c r="LXL38" s="1001"/>
      <c r="LXM38" s="1001"/>
      <c r="LXN38" s="1001"/>
      <c r="LXO38" s="1001"/>
      <c r="LXP38" s="1001"/>
      <c r="LXQ38" s="1001"/>
      <c r="LXR38" s="1001"/>
      <c r="LXS38" s="1001"/>
      <c r="LXT38" s="1001"/>
      <c r="LXU38" s="1001"/>
      <c r="LXV38" s="1001"/>
      <c r="LXW38" s="1001"/>
      <c r="LXX38" s="1001"/>
      <c r="LXY38" s="1001"/>
      <c r="LXZ38" s="1001"/>
      <c r="LYA38" s="1001"/>
      <c r="LYB38" s="1001"/>
      <c r="LYC38" s="1001"/>
      <c r="LYD38" s="1001"/>
      <c r="LYE38" s="1001"/>
      <c r="LYF38" s="1001"/>
      <c r="LYG38" s="1001"/>
      <c r="LYH38" s="1001"/>
      <c r="LYI38" s="1001"/>
      <c r="LYJ38" s="1001"/>
      <c r="LYK38" s="1001"/>
      <c r="LYL38" s="1001"/>
      <c r="LYM38" s="1001"/>
      <c r="LYN38" s="1001"/>
      <c r="LYO38" s="1001"/>
      <c r="LYP38" s="1001"/>
      <c r="LYQ38" s="1001"/>
      <c r="LYR38" s="1001"/>
      <c r="LYS38" s="1001"/>
      <c r="LYT38" s="1001"/>
      <c r="LYU38" s="1001"/>
      <c r="LYV38" s="1001"/>
      <c r="LYW38" s="1001"/>
      <c r="LYX38" s="1001"/>
      <c r="LYY38" s="1001"/>
      <c r="LYZ38" s="1001"/>
      <c r="LZA38" s="1001"/>
      <c r="LZB38" s="1001"/>
      <c r="LZC38" s="1001"/>
      <c r="LZD38" s="1001"/>
      <c r="LZE38" s="1001"/>
      <c r="LZF38" s="1001"/>
      <c r="LZG38" s="1001"/>
      <c r="LZH38" s="1001"/>
      <c r="LZI38" s="1001"/>
      <c r="LZJ38" s="1001"/>
      <c r="LZK38" s="1001"/>
      <c r="LZL38" s="1001"/>
      <c r="LZM38" s="1001"/>
      <c r="LZN38" s="1001"/>
      <c r="LZO38" s="1001"/>
      <c r="LZP38" s="1001"/>
      <c r="LZQ38" s="1001"/>
      <c r="LZR38" s="1001"/>
      <c r="LZS38" s="1001"/>
      <c r="LZT38" s="1001"/>
      <c r="LZU38" s="1001"/>
      <c r="LZV38" s="1001"/>
      <c r="LZW38" s="1001"/>
      <c r="LZX38" s="1001"/>
      <c r="LZY38" s="1001"/>
      <c r="LZZ38" s="1001"/>
      <c r="MAA38" s="1001"/>
      <c r="MAB38" s="1001"/>
      <c r="MAC38" s="1001"/>
      <c r="MAD38" s="1001"/>
      <c r="MAE38" s="1001"/>
      <c r="MAF38" s="1001"/>
      <c r="MAG38" s="1001"/>
      <c r="MAH38" s="1001"/>
      <c r="MAI38" s="1001"/>
      <c r="MAJ38" s="1001"/>
      <c r="MAK38" s="1001"/>
      <c r="MAL38" s="1001"/>
      <c r="MAM38" s="1001"/>
      <c r="MAN38" s="1001"/>
      <c r="MAO38" s="1001"/>
      <c r="MAP38" s="1001"/>
      <c r="MAQ38" s="1001"/>
      <c r="MAR38" s="1001"/>
      <c r="MAS38" s="1001"/>
      <c r="MAT38" s="1001"/>
      <c r="MAU38" s="1001"/>
      <c r="MAV38" s="1001"/>
      <c r="MAW38" s="1001"/>
      <c r="MAX38" s="1001"/>
      <c r="MAY38" s="1001"/>
      <c r="MAZ38" s="1001"/>
      <c r="MBA38" s="1001"/>
      <c r="MBB38" s="1001"/>
      <c r="MBC38" s="1001"/>
      <c r="MBD38" s="1001"/>
      <c r="MBE38" s="1001"/>
      <c r="MBF38" s="1001"/>
      <c r="MBG38" s="1001"/>
      <c r="MBH38" s="1001"/>
      <c r="MBI38" s="1001"/>
      <c r="MBJ38" s="1001"/>
      <c r="MBK38" s="1001"/>
      <c r="MBL38" s="1001"/>
      <c r="MBM38" s="1001"/>
      <c r="MBN38" s="1001"/>
      <c r="MBO38" s="1001"/>
      <c r="MBP38" s="1001"/>
      <c r="MBQ38" s="1001"/>
      <c r="MBR38" s="1001"/>
      <c r="MBS38" s="1001"/>
      <c r="MBT38" s="1001"/>
      <c r="MBU38" s="1001"/>
      <c r="MBV38" s="1001"/>
      <c r="MBW38" s="1001"/>
      <c r="MBX38" s="1001"/>
      <c r="MBY38" s="1001"/>
      <c r="MBZ38" s="1001"/>
      <c r="MCA38" s="1001"/>
      <c r="MCB38" s="1001"/>
      <c r="MCC38" s="1001"/>
      <c r="MCD38" s="1001"/>
      <c r="MCE38" s="1001"/>
      <c r="MCF38" s="1001"/>
      <c r="MCG38" s="1001"/>
      <c r="MCH38" s="1001"/>
      <c r="MCI38" s="1001"/>
      <c r="MCJ38" s="1001"/>
      <c r="MCK38" s="1001"/>
      <c r="MCL38" s="1001"/>
      <c r="MCM38" s="1001"/>
      <c r="MCN38" s="1001"/>
      <c r="MCO38" s="1001"/>
      <c r="MCP38" s="1001"/>
      <c r="MCQ38" s="1001"/>
      <c r="MCR38" s="1001"/>
      <c r="MCS38" s="1001"/>
      <c r="MCT38" s="1001"/>
      <c r="MCU38" s="1001"/>
      <c r="MCV38" s="1001"/>
      <c r="MCW38" s="1001"/>
      <c r="MCX38" s="1001"/>
      <c r="MCY38" s="1001"/>
      <c r="MCZ38" s="1001"/>
      <c r="MDA38" s="1001"/>
      <c r="MDB38" s="1001"/>
      <c r="MDC38" s="1001"/>
      <c r="MDD38" s="1001"/>
      <c r="MDE38" s="1001"/>
      <c r="MDF38" s="1001"/>
      <c r="MDG38" s="1001"/>
      <c r="MDH38" s="1001"/>
      <c r="MDI38" s="1001"/>
      <c r="MDJ38" s="1001"/>
      <c r="MDK38" s="1001"/>
      <c r="MDL38" s="1001"/>
      <c r="MDM38" s="1001"/>
      <c r="MDN38" s="1001"/>
      <c r="MDO38" s="1001"/>
      <c r="MDP38" s="1001"/>
      <c r="MDQ38" s="1001"/>
      <c r="MDR38" s="1001"/>
      <c r="MDS38" s="1001"/>
      <c r="MDT38" s="1001"/>
      <c r="MDU38" s="1001"/>
      <c r="MDV38" s="1001"/>
      <c r="MDW38" s="1001"/>
      <c r="MDX38" s="1001"/>
      <c r="MDY38" s="1001"/>
      <c r="MDZ38" s="1001"/>
      <c r="MEA38" s="1001"/>
      <c r="MEB38" s="1001"/>
      <c r="MEC38" s="1001"/>
      <c r="MED38" s="1001"/>
      <c r="MEE38" s="1001"/>
      <c r="MEF38" s="1001"/>
      <c r="MEG38" s="1001"/>
      <c r="MEH38" s="1001"/>
      <c r="MEI38" s="1001"/>
      <c r="MEJ38" s="1001"/>
      <c r="MEK38" s="1001"/>
      <c r="MEL38" s="1001"/>
      <c r="MEM38" s="1001"/>
      <c r="MEN38" s="1001"/>
      <c r="MEO38" s="1001"/>
      <c r="MEP38" s="1001"/>
      <c r="MEQ38" s="1001"/>
      <c r="MER38" s="1001"/>
      <c r="MES38" s="1001"/>
      <c r="MET38" s="1001"/>
      <c r="MEU38" s="1001"/>
      <c r="MEV38" s="1001"/>
      <c r="MEW38" s="1001"/>
      <c r="MEX38" s="1001"/>
      <c r="MEY38" s="1001"/>
      <c r="MEZ38" s="1001"/>
      <c r="MFA38" s="1001"/>
      <c r="MFB38" s="1001"/>
      <c r="MFC38" s="1001"/>
      <c r="MFD38" s="1001"/>
      <c r="MFE38" s="1001"/>
      <c r="MFF38" s="1001"/>
      <c r="MFG38" s="1001"/>
      <c r="MFH38" s="1001"/>
      <c r="MFI38" s="1001"/>
      <c r="MFJ38" s="1001"/>
      <c r="MFK38" s="1001"/>
      <c r="MFL38" s="1001"/>
      <c r="MFM38" s="1001"/>
      <c r="MFN38" s="1001"/>
      <c r="MFO38" s="1001"/>
      <c r="MFP38" s="1001"/>
      <c r="MFQ38" s="1001"/>
      <c r="MFR38" s="1001"/>
      <c r="MFS38" s="1001"/>
      <c r="MFT38" s="1001"/>
      <c r="MFU38" s="1001"/>
      <c r="MFV38" s="1001"/>
      <c r="MFW38" s="1001"/>
      <c r="MFX38" s="1001"/>
      <c r="MFY38" s="1001"/>
      <c r="MFZ38" s="1001"/>
      <c r="MGA38" s="1001"/>
      <c r="MGB38" s="1001"/>
      <c r="MGC38" s="1001"/>
      <c r="MGD38" s="1001"/>
      <c r="MGE38" s="1001"/>
      <c r="MGF38" s="1001"/>
      <c r="MGG38" s="1001"/>
      <c r="MGH38" s="1001"/>
      <c r="MGI38" s="1001"/>
      <c r="MGJ38" s="1001"/>
      <c r="MGK38" s="1001"/>
      <c r="MGL38" s="1001"/>
      <c r="MGM38" s="1001"/>
      <c r="MGN38" s="1001"/>
      <c r="MGO38" s="1001"/>
      <c r="MGP38" s="1001"/>
      <c r="MGQ38" s="1001"/>
      <c r="MGR38" s="1001"/>
      <c r="MGS38" s="1001"/>
      <c r="MGT38" s="1001"/>
      <c r="MGU38" s="1001"/>
      <c r="MGV38" s="1001"/>
      <c r="MGW38" s="1001"/>
      <c r="MGX38" s="1001"/>
      <c r="MGY38" s="1001"/>
      <c r="MGZ38" s="1001"/>
      <c r="MHA38" s="1001"/>
      <c r="MHB38" s="1001"/>
      <c r="MHC38" s="1001"/>
      <c r="MHD38" s="1001"/>
      <c r="MHE38" s="1001"/>
      <c r="MHF38" s="1001"/>
      <c r="MHG38" s="1001"/>
      <c r="MHH38" s="1001"/>
      <c r="MHI38" s="1001"/>
      <c r="MHJ38" s="1001"/>
      <c r="MHK38" s="1001"/>
      <c r="MHL38" s="1001"/>
      <c r="MHM38" s="1001"/>
      <c r="MHN38" s="1001"/>
      <c r="MHO38" s="1001"/>
      <c r="MHP38" s="1001"/>
      <c r="MHQ38" s="1001"/>
      <c r="MHR38" s="1001"/>
      <c r="MHS38" s="1001"/>
      <c r="MHT38" s="1001"/>
      <c r="MHU38" s="1001"/>
      <c r="MHV38" s="1001"/>
      <c r="MHW38" s="1001"/>
      <c r="MHX38" s="1001"/>
      <c r="MHY38" s="1001"/>
      <c r="MHZ38" s="1001"/>
      <c r="MIA38" s="1001"/>
      <c r="MIB38" s="1001"/>
      <c r="MIC38" s="1001"/>
      <c r="MID38" s="1001"/>
      <c r="MIE38" s="1001"/>
      <c r="MIF38" s="1001"/>
      <c r="MIG38" s="1001"/>
      <c r="MIH38" s="1001"/>
      <c r="MII38" s="1001"/>
      <c r="MIJ38" s="1001"/>
      <c r="MIK38" s="1001"/>
      <c r="MIL38" s="1001"/>
      <c r="MIM38" s="1001"/>
      <c r="MIN38" s="1001"/>
      <c r="MIO38" s="1001"/>
      <c r="MIP38" s="1001"/>
      <c r="MIQ38" s="1001"/>
      <c r="MIR38" s="1001"/>
      <c r="MIS38" s="1001"/>
      <c r="MIT38" s="1001"/>
      <c r="MIU38" s="1001"/>
      <c r="MIV38" s="1001"/>
      <c r="MIW38" s="1001"/>
      <c r="MIX38" s="1001"/>
      <c r="MIY38" s="1001"/>
      <c r="MIZ38" s="1001"/>
      <c r="MJA38" s="1001"/>
      <c r="MJB38" s="1001"/>
      <c r="MJC38" s="1001"/>
      <c r="MJD38" s="1001"/>
      <c r="MJE38" s="1001"/>
      <c r="MJF38" s="1001"/>
      <c r="MJG38" s="1001"/>
      <c r="MJH38" s="1001"/>
      <c r="MJI38" s="1001"/>
      <c r="MJJ38" s="1001"/>
      <c r="MJK38" s="1001"/>
      <c r="MJL38" s="1001"/>
      <c r="MJM38" s="1001"/>
      <c r="MJN38" s="1001"/>
      <c r="MJO38" s="1001"/>
      <c r="MJP38" s="1001"/>
      <c r="MJQ38" s="1001"/>
      <c r="MJR38" s="1001"/>
      <c r="MJS38" s="1001"/>
      <c r="MJT38" s="1001"/>
      <c r="MJU38" s="1001"/>
      <c r="MJV38" s="1001"/>
      <c r="MJW38" s="1001"/>
      <c r="MJX38" s="1001"/>
      <c r="MJY38" s="1001"/>
      <c r="MJZ38" s="1001"/>
      <c r="MKA38" s="1001"/>
      <c r="MKB38" s="1001"/>
      <c r="MKC38" s="1001"/>
      <c r="MKD38" s="1001"/>
      <c r="MKE38" s="1001"/>
      <c r="MKF38" s="1001"/>
      <c r="MKG38" s="1001"/>
      <c r="MKH38" s="1001"/>
      <c r="MKI38" s="1001"/>
      <c r="MKJ38" s="1001"/>
      <c r="MKK38" s="1001"/>
      <c r="MKL38" s="1001"/>
      <c r="MKM38" s="1001"/>
      <c r="MKN38" s="1001"/>
      <c r="MKO38" s="1001"/>
      <c r="MKP38" s="1001"/>
      <c r="MKQ38" s="1001"/>
      <c r="MKR38" s="1001"/>
      <c r="MKS38" s="1001"/>
      <c r="MKT38" s="1001"/>
      <c r="MKU38" s="1001"/>
      <c r="MKV38" s="1001"/>
      <c r="MKW38" s="1001"/>
      <c r="MKX38" s="1001"/>
      <c r="MKY38" s="1001"/>
      <c r="MKZ38" s="1001"/>
      <c r="MLA38" s="1001"/>
      <c r="MLB38" s="1001"/>
      <c r="MLC38" s="1001"/>
      <c r="MLD38" s="1001"/>
      <c r="MLE38" s="1001"/>
      <c r="MLF38" s="1001"/>
      <c r="MLG38" s="1001"/>
      <c r="MLH38" s="1001"/>
      <c r="MLI38" s="1001"/>
      <c r="MLJ38" s="1001"/>
      <c r="MLK38" s="1001"/>
      <c r="MLL38" s="1001"/>
      <c r="MLM38" s="1001"/>
      <c r="MLN38" s="1001"/>
      <c r="MLO38" s="1001"/>
      <c r="MLP38" s="1001"/>
      <c r="MLQ38" s="1001"/>
      <c r="MLR38" s="1001"/>
      <c r="MLS38" s="1001"/>
      <c r="MLT38" s="1001"/>
      <c r="MLU38" s="1001"/>
      <c r="MLV38" s="1001"/>
      <c r="MLW38" s="1001"/>
      <c r="MLX38" s="1001"/>
      <c r="MLY38" s="1001"/>
      <c r="MLZ38" s="1001"/>
      <c r="MMA38" s="1001"/>
      <c r="MMB38" s="1001"/>
      <c r="MMC38" s="1001"/>
      <c r="MMD38" s="1001"/>
      <c r="MME38" s="1001"/>
      <c r="MMF38" s="1001"/>
      <c r="MMG38" s="1001"/>
      <c r="MMH38" s="1001"/>
      <c r="MMI38" s="1001"/>
      <c r="MMJ38" s="1001"/>
      <c r="MMK38" s="1001"/>
      <c r="MML38" s="1001"/>
      <c r="MMM38" s="1001"/>
      <c r="MMN38" s="1001"/>
      <c r="MMO38" s="1001"/>
      <c r="MMP38" s="1001"/>
      <c r="MMQ38" s="1001"/>
      <c r="MMR38" s="1001"/>
      <c r="MMS38" s="1001"/>
      <c r="MMT38" s="1001"/>
      <c r="MMU38" s="1001"/>
      <c r="MMV38" s="1001"/>
      <c r="MMW38" s="1001"/>
      <c r="MMX38" s="1001"/>
      <c r="MMY38" s="1001"/>
      <c r="MMZ38" s="1001"/>
      <c r="MNA38" s="1001"/>
      <c r="MNB38" s="1001"/>
      <c r="MNC38" s="1001"/>
      <c r="MND38" s="1001"/>
      <c r="MNE38" s="1001"/>
      <c r="MNF38" s="1001"/>
      <c r="MNG38" s="1001"/>
      <c r="MNH38" s="1001"/>
      <c r="MNI38" s="1001"/>
      <c r="MNJ38" s="1001"/>
      <c r="MNK38" s="1001"/>
      <c r="MNL38" s="1001"/>
      <c r="MNM38" s="1001"/>
      <c r="MNN38" s="1001"/>
      <c r="MNO38" s="1001"/>
      <c r="MNP38" s="1001"/>
      <c r="MNQ38" s="1001"/>
      <c r="MNR38" s="1001"/>
      <c r="MNS38" s="1001"/>
      <c r="MNT38" s="1001"/>
      <c r="MNU38" s="1001"/>
      <c r="MNV38" s="1001"/>
      <c r="MNW38" s="1001"/>
      <c r="MNX38" s="1001"/>
      <c r="MNY38" s="1001"/>
      <c r="MNZ38" s="1001"/>
      <c r="MOA38" s="1001"/>
      <c r="MOB38" s="1001"/>
      <c r="MOC38" s="1001"/>
      <c r="MOD38" s="1001"/>
      <c r="MOE38" s="1001"/>
      <c r="MOF38" s="1001"/>
      <c r="MOG38" s="1001"/>
      <c r="MOH38" s="1001"/>
      <c r="MOI38" s="1001"/>
      <c r="MOJ38" s="1001"/>
      <c r="MOK38" s="1001"/>
      <c r="MOL38" s="1001"/>
      <c r="MOM38" s="1001"/>
      <c r="MON38" s="1001"/>
      <c r="MOO38" s="1001"/>
      <c r="MOP38" s="1001"/>
      <c r="MOQ38" s="1001"/>
      <c r="MOR38" s="1001"/>
      <c r="MOS38" s="1001"/>
      <c r="MOT38" s="1001"/>
      <c r="MOU38" s="1001"/>
      <c r="MOV38" s="1001"/>
      <c r="MOW38" s="1001"/>
      <c r="MOX38" s="1001"/>
      <c r="MOY38" s="1001"/>
      <c r="MOZ38" s="1001"/>
      <c r="MPA38" s="1001"/>
      <c r="MPB38" s="1001"/>
      <c r="MPC38" s="1001"/>
      <c r="MPD38" s="1001"/>
      <c r="MPE38" s="1001"/>
      <c r="MPF38" s="1001"/>
      <c r="MPG38" s="1001"/>
      <c r="MPH38" s="1001"/>
      <c r="MPI38" s="1001"/>
      <c r="MPJ38" s="1001"/>
      <c r="MPK38" s="1001"/>
      <c r="MPL38" s="1001"/>
      <c r="MPM38" s="1001"/>
      <c r="MPN38" s="1001"/>
      <c r="MPO38" s="1001"/>
      <c r="MPP38" s="1001"/>
      <c r="MPQ38" s="1001"/>
      <c r="MPR38" s="1001"/>
      <c r="MPS38" s="1001"/>
      <c r="MPT38" s="1001"/>
      <c r="MPU38" s="1001"/>
      <c r="MPV38" s="1001"/>
      <c r="MPW38" s="1001"/>
      <c r="MPX38" s="1001"/>
      <c r="MPY38" s="1001"/>
      <c r="MPZ38" s="1001"/>
      <c r="MQA38" s="1001"/>
      <c r="MQB38" s="1001"/>
      <c r="MQC38" s="1001"/>
      <c r="MQD38" s="1001"/>
      <c r="MQE38" s="1001"/>
      <c r="MQF38" s="1001"/>
      <c r="MQG38" s="1001"/>
      <c r="MQH38" s="1001"/>
      <c r="MQI38" s="1001"/>
      <c r="MQJ38" s="1001"/>
      <c r="MQK38" s="1001"/>
      <c r="MQL38" s="1001"/>
      <c r="MQM38" s="1001"/>
      <c r="MQN38" s="1001"/>
      <c r="MQO38" s="1001"/>
      <c r="MQP38" s="1001"/>
      <c r="MQQ38" s="1001"/>
      <c r="MQR38" s="1001"/>
      <c r="MQS38" s="1001"/>
      <c r="MQT38" s="1001"/>
      <c r="MQU38" s="1001"/>
      <c r="MQV38" s="1001"/>
      <c r="MQW38" s="1001"/>
      <c r="MQX38" s="1001"/>
      <c r="MQY38" s="1001"/>
      <c r="MQZ38" s="1001"/>
      <c r="MRA38" s="1001"/>
      <c r="MRB38" s="1001"/>
      <c r="MRC38" s="1001"/>
      <c r="MRD38" s="1001"/>
      <c r="MRE38" s="1001"/>
      <c r="MRF38" s="1001"/>
      <c r="MRG38" s="1001"/>
      <c r="MRH38" s="1001"/>
      <c r="MRI38" s="1001"/>
      <c r="MRJ38" s="1001"/>
      <c r="MRK38" s="1001"/>
      <c r="MRL38" s="1001"/>
      <c r="MRM38" s="1001"/>
      <c r="MRN38" s="1001"/>
      <c r="MRO38" s="1001"/>
      <c r="MRP38" s="1001"/>
      <c r="MRQ38" s="1001"/>
      <c r="MRR38" s="1001"/>
      <c r="MRS38" s="1001"/>
      <c r="MRT38" s="1001"/>
      <c r="MRU38" s="1001"/>
      <c r="MRV38" s="1001"/>
      <c r="MRW38" s="1001"/>
      <c r="MRX38" s="1001"/>
      <c r="MRY38" s="1001"/>
      <c r="MRZ38" s="1001"/>
      <c r="MSA38" s="1001"/>
      <c r="MSB38" s="1001"/>
      <c r="MSC38" s="1001"/>
      <c r="MSD38" s="1001"/>
      <c r="MSE38" s="1001"/>
      <c r="MSF38" s="1001"/>
      <c r="MSG38" s="1001"/>
      <c r="MSH38" s="1001"/>
      <c r="MSI38" s="1001"/>
      <c r="MSJ38" s="1001"/>
      <c r="MSK38" s="1001"/>
      <c r="MSL38" s="1001"/>
      <c r="MSM38" s="1001"/>
      <c r="MSN38" s="1001"/>
      <c r="MSO38" s="1001"/>
      <c r="MSP38" s="1001"/>
      <c r="MSQ38" s="1001"/>
      <c r="MSR38" s="1001"/>
      <c r="MSS38" s="1001"/>
      <c r="MST38" s="1001"/>
      <c r="MSU38" s="1001"/>
      <c r="MSV38" s="1001"/>
      <c r="MSW38" s="1001"/>
      <c r="MSX38" s="1001"/>
      <c r="MSY38" s="1001"/>
      <c r="MSZ38" s="1001"/>
      <c r="MTA38" s="1001"/>
      <c r="MTB38" s="1001"/>
      <c r="MTC38" s="1001"/>
      <c r="MTD38" s="1001"/>
      <c r="MTE38" s="1001"/>
      <c r="MTF38" s="1001"/>
      <c r="MTG38" s="1001"/>
      <c r="MTH38" s="1001"/>
      <c r="MTI38" s="1001"/>
      <c r="MTJ38" s="1001"/>
      <c r="MTK38" s="1001"/>
      <c r="MTL38" s="1001"/>
      <c r="MTM38" s="1001"/>
      <c r="MTN38" s="1001"/>
      <c r="MTO38" s="1001"/>
      <c r="MTP38" s="1001"/>
      <c r="MTQ38" s="1001"/>
      <c r="MTR38" s="1001"/>
      <c r="MTS38" s="1001"/>
      <c r="MTT38" s="1001"/>
      <c r="MTU38" s="1001"/>
      <c r="MTV38" s="1001"/>
      <c r="MTW38" s="1001"/>
      <c r="MTX38" s="1001"/>
      <c r="MTY38" s="1001"/>
      <c r="MTZ38" s="1001"/>
      <c r="MUA38" s="1001"/>
      <c r="MUB38" s="1001"/>
      <c r="MUC38" s="1001"/>
      <c r="MUD38" s="1001"/>
      <c r="MUE38" s="1001"/>
      <c r="MUF38" s="1001"/>
      <c r="MUG38" s="1001"/>
      <c r="MUH38" s="1001"/>
      <c r="MUI38" s="1001"/>
      <c r="MUJ38" s="1001"/>
      <c r="MUK38" s="1001"/>
      <c r="MUL38" s="1001"/>
      <c r="MUM38" s="1001"/>
      <c r="MUN38" s="1001"/>
      <c r="MUO38" s="1001"/>
      <c r="MUP38" s="1001"/>
      <c r="MUQ38" s="1001"/>
      <c r="MUR38" s="1001"/>
      <c r="MUS38" s="1001"/>
      <c r="MUT38" s="1001"/>
      <c r="MUU38" s="1001"/>
      <c r="MUV38" s="1001"/>
      <c r="MUW38" s="1001"/>
      <c r="MUX38" s="1001"/>
      <c r="MUY38" s="1001"/>
      <c r="MUZ38" s="1001"/>
      <c r="MVA38" s="1001"/>
      <c r="MVB38" s="1001"/>
      <c r="MVC38" s="1001"/>
      <c r="MVD38" s="1001"/>
      <c r="MVE38" s="1001"/>
      <c r="MVF38" s="1001"/>
      <c r="MVG38" s="1001"/>
      <c r="MVH38" s="1001"/>
      <c r="MVI38" s="1001"/>
      <c r="MVJ38" s="1001"/>
      <c r="MVK38" s="1001"/>
      <c r="MVL38" s="1001"/>
      <c r="MVM38" s="1001"/>
      <c r="MVN38" s="1001"/>
      <c r="MVO38" s="1001"/>
      <c r="MVP38" s="1001"/>
      <c r="MVQ38" s="1001"/>
      <c r="MVR38" s="1001"/>
      <c r="MVS38" s="1001"/>
      <c r="MVT38" s="1001"/>
      <c r="MVU38" s="1001"/>
      <c r="MVV38" s="1001"/>
      <c r="MVW38" s="1001"/>
      <c r="MVX38" s="1001"/>
      <c r="MVY38" s="1001"/>
      <c r="MVZ38" s="1001"/>
      <c r="MWA38" s="1001"/>
      <c r="MWB38" s="1001"/>
      <c r="MWC38" s="1001"/>
      <c r="MWD38" s="1001"/>
      <c r="MWE38" s="1001"/>
      <c r="MWF38" s="1001"/>
      <c r="MWG38" s="1001"/>
      <c r="MWH38" s="1001"/>
      <c r="MWI38" s="1001"/>
      <c r="MWJ38" s="1001"/>
      <c r="MWK38" s="1001"/>
      <c r="MWL38" s="1001"/>
      <c r="MWM38" s="1001"/>
      <c r="MWN38" s="1001"/>
      <c r="MWO38" s="1001"/>
      <c r="MWP38" s="1001"/>
      <c r="MWQ38" s="1001"/>
      <c r="MWR38" s="1001"/>
      <c r="MWS38" s="1001"/>
      <c r="MWT38" s="1001"/>
      <c r="MWU38" s="1001"/>
      <c r="MWV38" s="1001"/>
      <c r="MWW38" s="1001"/>
      <c r="MWX38" s="1001"/>
      <c r="MWY38" s="1001"/>
      <c r="MWZ38" s="1001"/>
      <c r="MXA38" s="1001"/>
      <c r="MXB38" s="1001"/>
      <c r="MXC38" s="1001"/>
      <c r="MXD38" s="1001"/>
      <c r="MXE38" s="1001"/>
      <c r="MXF38" s="1001"/>
      <c r="MXG38" s="1001"/>
      <c r="MXH38" s="1001"/>
      <c r="MXI38" s="1001"/>
      <c r="MXJ38" s="1001"/>
      <c r="MXK38" s="1001"/>
      <c r="MXL38" s="1001"/>
      <c r="MXM38" s="1001"/>
      <c r="MXN38" s="1001"/>
      <c r="MXO38" s="1001"/>
      <c r="MXP38" s="1001"/>
      <c r="MXQ38" s="1001"/>
      <c r="MXR38" s="1001"/>
      <c r="MXS38" s="1001"/>
      <c r="MXT38" s="1001"/>
      <c r="MXU38" s="1001"/>
      <c r="MXV38" s="1001"/>
      <c r="MXW38" s="1001"/>
      <c r="MXX38" s="1001"/>
      <c r="MXY38" s="1001"/>
      <c r="MXZ38" s="1001"/>
      <c r="MYA38" s="1001"/>
      <c r="MYB38" s="1001"/>
      <c r="MYC38" s="1001"/>
      <c r="MYD38" s="1001"/>
      <c r="MYE38" s="1001"/>
      <c r="MYF38" s="1001"/>
      <c r="MYG38" s="1001"/>
      <c r="MYH38" s="1001"/>
      <c r="MYI38" s="1001"/>
      <c r="MYJ38" s="1001"/>
      <c r="MYK38" s="1001"/>
      <c r="MYL38" s="1001"/>
      <c r="MYM38" s="1001"/>
      <c r="MYN38" s="1001"/>
      <c r="MYO38" s="1001"/>
      <c r="MYP38" s="1001"/>
      <c r="MYQ38" s="1001"/>
      <c r="MYR38" s="1001"/>
      <c r="MYS38" s="1001"/>
      <c r="MYT38" s="1001"/>
      <c r="MYU38" s="1001"/>
      <c r="MYV38" s="1001"/>
      <c r="MYW38" s="1001"/>
      <c r="MYX38" s="1001"/>
      <c r="MYY38" s="1001"/>
      <c r="MYZ38" s="1001"/>
      <c r="MZA38" s="1001"/>
      <c r="MZB38" s="1001"/>
      <c r="MZC38" s="1001"/>
      <c r="MZD38" s="1001"/>
      <c r="MZE38" s="1001"/>
      <c r="MZF38" s="1001"/>
      <c r="MZG38" s="1001"/>
      <c r="MZH38" s="1001"/>
      <c r="MZI38" s="1001"/>
      <c r="MZJ38" s="1001"/>
      <c r="MZK38" s="1001"/>
      <c r="MZL38" s="1001"/>
      <c r="MZM38" s="1001"/>
      <c r="MZN38" s="1001"/>
      <c r="MZO38" s="1001"/>
      <c r="MZP38" s="1001"/>
      <c r="MZQ38" s="1001"/>
      <c r="MZR38" s="1001"/>
      <c r="MZS38" s="1001"/>
      <c r="MZT38" s="1001"/>
      <c r="MZU38" s="1001"/>
      <c r="MZV38" s="1001"/>
      <c r="MZW38" s="1001"/>
      <c r="MZX38" s="1001"/>
      <c r="MZY38" s="1001"/>
      <c r="MZZ38" s="1001"/>
      <c r="NAA38" s="1001"/>
      <c r="NAB38" s="1001"/>
      <c r="NAC38" s="1001"/>
      <c r="NAD38" s="1001"/>
      <c r="NAE38" s="1001"/>
      <c r="NAF38" s="1001"/>
      <c r="NAG38" s="1001"/>
      <c r="NAH38" s="1001"/>
      <c r="NAI38" s="1001"/>
      <c r="NAJ38" s="1001"/>
      <c r="NAK38" s="1001"/>
      <c r="NAL38" s="1001"/>
      <c r="NAM38" s="1001"/>
      <c r="NAN38" s="1001"/>
      <c r="NAO38" s="1001"/>
      <c r="NAP38" s="1001"/>
      <c r="NAQ38" s="1001"/>
      <c r="NAR38" s="1001"/>
      <c r="NAS38" s="1001"/>
      <c r="NAT38" s="1001"/>
      <c r="NAU38" s="1001"/>
      <c r="NAV38" s="1001"/>
      <c r="NAW38" s="1001"/>
      <c r="NAX38" s="1001"/>
      <c r="NAY38" s="1001"/>
      <c r="NAZ38" s="1001"/>
      <c r="NBA38" s="1001"/>
      <c r="NBB38" s="1001"/>
      <c r="NBC38" s="1001"/>
      <c r="NBD38" s="1001"/>
      <c r="NBE38" s="1001"/>
      <c r="NBF38" s="1001"/>
      <c r="NBG38" s="1001"/>
      <c r="NBH38" s="1001"/>
      <c r="NBI38" s="1001"/>
      <c r="NBJ38" s="1001"/>
      <c r="NBK38" s="1001"/>
      <c r="NBL38" s="1001"/>
      <c r="NBM38" s="1001"/>
      <c r="NBN38" s="1001"/>
      <c r="NBO38" s="1001"/>
      <c r="NBP38" s="1001"/>
      <c r="NBQ38" s="1001"/>
      <c r="NBR38" s="1001"/>
      <c r="NBS38" s="1001"/>
      <c r="NBT38" s="1001"/>
      <c r="NBU38" s="1001"/>
      <c r="NBV38" s="1001"/>
      <c r="NBW38" s="1001"/>
      <c r="NBX38" s="1001"/>
      <c r="NBY38" s="1001"/>
      <c r="NBZ38" s="1001"/>
      <c r="NCA38" s="1001"/>
      <c r="NCB38" s="1001"/>
      <c r="NCC38" s="1001"/>
      <c r="NCD38" s="1001"/>
      <c r="NCE38" s="1001"/>
      <c r="NCF38" s="1001"/>
      <c r="NCG38" s="1001"/>
      <c r="NCH38" s="1001"/>
      <c r="NCI38" s="1001"/>
      <c r="NCJ38" s="1001"/>
      <c r="NCK38" s="1001"/>
      <c r="NCL38" s="1001"/>
      <c r="NCM38" s="1001"/>
      <c r="NCN38" s="1001"/>
      <c r="NCO38" s="1001"/>
      <c r="NCP38" s="1001"/>
      <c r="NCQ38" s="1001"/>
      <c r="NCR38" s="1001"/>
      <c r="NCS38" s="1001"/>
      <c r="NCT38" s="1001"/>
      <c r="NCU38" s="1001"/>
      <c r="NCV38" s="1001"/>
      <c r="NCW38" s="1001"/>
      <c r="NCX38" s="1001"/>
      <c r="NCY38" s="1001"/>
      <c r="NCZ38" s="1001"/>
      <c r="NDA38" s="1001"/>
      <c r="NDB38" s="1001"/>
      <c r="NDC38" s="1001"/>
      <c r="NDD38" s="1001"/>
      <c r="NDE38" s="1001"/>
      <c r="NDF38" s="1001"/>
      <c r="NDG38" s="1001"/>
      <c r="NDH38" s="1001"/>
      <c r="NDI38" s="1001"/>
      <c r="NDJ38" s="1001"/>
      <c r="NDK38" s="1001"/>
      <c r="NDL38" s="1001"/>
      <c r="NDM38" s="1001"/>
      <c r="NDN38" s="1001"/>
      <c r="NDO38" s="1001"/>
      <c r="NDP38" s="1001"/>
      <c r="NDQ38" s="1001"/>
      <c r="NDR38" s="1001"/>
      <c r="NDS38" s="1001"/>
      <c r="NDT38" s="1001"/>
      <c r="NDU38" s="1001"/>
      <c r="NDV38" s="1001"/>
      <c r="NDW38" s="1001"/>
      <c r="NDX38" s="1001"/>
      <c r="NDY38" s="1001"/>
      <c r="NDZ38" s="1001"/>
      <c r="NEA38" s="1001"/>
      <c r="NEB38" s="1001"/>
      <c r="NEC38" s="1001"/>
      <c r="NED38" s="1001"/>
      <c r="NEE38" s="1001"/>
      <c r="NEF38" s="1001"/>
      <c r="NEG38" s="1001"/>
      <c r="NEH38" s="1001"/>
      <c r="NEI38" s="1001"/>
      <c r="NEJ38" s="1001"/>
      <c r="NEK38" s="1001"/>
      <c r="NEL38" s="1001"/>
      <c r="NEM38" s="1001"/>
      <c r="NEN38" s="1001"/>
      <c r="NEO38" s="1001"/>
      <c r="NEP38" s="1001"/>
      <c r="NEQ38" s="1001"/>
      <c r="NER38" s="1001"/>
      <c r="NES38" s="1001"/>
      <c r="NET38" s="1001"/>
      <c r="NEU38" s="1001"/>
      <c r="NEV38" s="1001"/>
      <c r="NEW38" s="1001"/>
      <c r="NEX38" s="1001"/>
      <c r="NEY38" s="1001"/>
      <c r="NEZ38" s="1001"/>
      <c r="NFA38" s="1001"/>
      <c r="NFB38" s="1001"/>
      <c r="NFC38" s="1001"/>
      <c r="NFD38" s="1001"/>
      <c r="NFE38" s="1001"/>
      <c r="NFF38" s="1001"/>
      <c r="NFG38" s="1001"/>
      <c r="NFH38" s="1001"/>
      <c r="NFI38" s="1001"/>
      <c r="NFJ38" s="1001"/>
      <c r="NFK38" s="1001"/>
      <c r="NFL38" s="1001"/>
      <c r="NFM38" s="1001"/>
      <c r="NFN38" s="1001"/>
      <c r="NFO38" s="1001"/>
      <c r="NFP38" s="1001"/>
      <c r="NFQ38" s="1001"/>
      <c r="NFR38" s="1001"/>
      <c r="NFS38" s="1001"/>
      <c r="NFT38" s="1001"/>
      <c r="NFU38" s="1001"/>
      <c r="NFV38" s="1001"/>
      <c r="NFW38" s="1001"/>
      <c r="NFX38" s="1001"/>
      <c r="NFY38" s="1001"/>
      <c r="NFZ38" s="1001"/>
      <c r="NGA38" s="1001"/>
      <c r="NGB38" s="1001"/>
      <c r="NGC38" s="1001"/>
      <c r="NGD38" s="1001"/>
      <c r="NGE38" s="1001"/>
      <c r="NGF38" s="1001"/>
      <c r="NGG38" s="1001"/>
      <c r="NGH38" s="1001"/>
      <c r="NGI38" s="1001"/>
      <c r="NGJ38" s="1001"/>
      <c r="NGK38" s="1001"/>
      <c r="NGL38" s="1001"/>
      <c r="NGM38" s="1001"/>
      <c r="NGN38" s="1001"/>
      <c r="NGO38" s="1001"/>
      <c r="NGP38" s="1001"/>
      <c r="NGQ38" s="1001"/>
      <c r="NGR38" s="1001"/>
      <c r="NGS38" s="1001"/>
      <c r="NGT38" s="1001"/>
      <c r="NGU38" s="1001"/>
      <c r="NGV38" s="1001"/>
      <c r="NGW38" s="1001"/>
      <c r="NGX38" s="1001"/>
      <c r="NGY38" s="1001"/>
      <c r="NGZ38" s="1001"/>
      <c r="NHA38" s="1001"/>
      <c r="NHB38" s="1001"/>
      <c r="NHC38" s="1001"/>
      <c r="NHD38" s="1001"/>
      <c r="NHE38" s="1001"/>
      <c r="NHF38" s="1001"/>
      <c r="NHG38" s="1001"/>
      <c r="NHH38" s="1001"/>
      <c r="NHI38" s="1001"/>
      <c r="NHJ38" s="1001"/>
      <c r="NHK38" s="1001"/>
      <c r="NHL38" s="1001"/>
      <c r="NHM38" s="1001"/>
      <c r="NHN38" s="1001"/>
      <c r="NHO38" s="1001"/>
      <c r="NHP38" s="1001"/>
      <c r="NHQ38" s="1001"/>
      <c r="NHR38" s="1001"/>
      <c r="NHS38" s="1001"/>
      <c r="NHT38" s="1001"/>
      <c r="NHU38" s="1001"/>
      <c r="NHV38" s="1001"/>
      <c r="NHW38" s="1001"/>
      <c r="NHX38" s="1001"/>
      <c r="NHY38" s="1001"/>
      <c r="NHZ38" s="1001"/>
      <c r="NIA38" s="1001"/>
      <c r="NIB38" s="1001"/>
      <c r="NIC38" s="1001"/>
      <c r="NID38" s="1001"/>
      <c r="NIE38" s="1001"/>
      <c r="NIF38" s="1001"/>
      <c r="NIG38" s="1001"/>
      <c r="NIH38" s="1001"/>
      <c r="NII38" s="1001"/>
      <c r="NIJ38" s="1001"/>
      <c r="NIK38" s="1001"/>
      <c r="NIL38" s="1001"/>
      <c r="NIM38" s="1001"/>
      <c r="NIN38" s="1001"/>
      <c r="NIO38" s="1001"/>
      <c r="NIP38" s="1001"/>
      <c r="NIQ38" s="1001"/>
      <c r="NIR38" s="1001"/>
      <c r="NIS38" s="1001"/>
      <c r="NIT38" s="1001"/>
      <c r="NIU38" s="1001"/>
      <c r="NIV38" s="1001"/>
      <c r="NIW38" s="1001"/>
      <c r="NIX38" s="1001"/>
      <c r="NIY38" s="1001"/>
      <c r="NIZ38" s="1001"/>
      <c r="NJA38" s="1001"/>
      <c r="NJB38" s="1001"/>
      <c r="NJC38" s="1001"/>
      <c r="NJD38" s="1001"/>
      <c r="NJE38" s="1001"/>
      <c r="NJF38" s="1001"/>
      <c r="NJG38" s="1001"/>
      <c r="NJH38" s="1001"/>
      <c r="NJI38" s="1001"/>
      <c r="NJJ38" s="1001"/>
      <c r="NJK38" s="1001"/>
      <c r="NJL38" s="1001"/>
      <c r="NJM38" s="1001"/>
      <c r="NJN38" s="1001"/>
      <c r="NJO38" s="1001"/>
      <c r="NJP38" s="1001"/>
      <c r="NJQ38" s="1001"/>
      <c r="NJR38" s="1001"/>
      <c r="NJS38" s="1001"/>
      <c r="NJT38" s="1001"/>
      <c r="NJU38" s="1001"/>
      <c r="NJV38" s="1001"/>
      <c r="NJW38" s="1001"/>
      <c r="NJX38" s="1001"/>
      <c r="NJY38" s="1001"/>
      <c r="NJZ38" s="1001"/>
      <c r="NKA38" s="1001"/>
      <c r="NKB38" s="1001"/>
      <c r="NKC38" s="1001"/>
      <c r="NKD38" s="1001"/>
      <c r="NKE38" s="1001"/>
      <c r="NKF38" s="1001"/>
      <c r="NKG38" s="1001"/>
      <c r="NKH38" s="1001"/>
      <c r="NKI38" s="1001"/>
      <c r="NKJ38" s="1001"/>
      <c r="NKK38" s="1001"/>
      <c r="NKL38" s="1001"/>
      <c r="NKM38" s="1001"/>
      <c r="NKN38" s="1001"/>
      <c r="NKO38" s="1001"/>
      <c r="NKP38" s="1001"/>
      <c r="NKQ38" s="1001"/>
      <c r="NKR38" s="1001"/>
      <c r="NKS38" s="1001"/>
      <c r="NKT38" s="1001"/>
      <c r="NKU38" s="1001"/>
      <c r="NKV38" s="1001"/>
      <c r="NKW38" s="1001"/>
      <c r="NKX38" s="1001"/>
      <c r="NKY38" s="1001"/>
      <c r="NKZ38" s="1001"/>
      <c r="NLA38" s="1001"/>
      <c r="NLB38" s="1001"/>
      <c r="NLC38" s="1001"/>
      <c r="NLD38" s="1001"/>
      <c r="NLE38" s="1001"/>
      <c r="NLF38" s="1001"/>
      <c r="NLG38" s="1001"/>
      <c r="NLH38" s="1001"/>
      <c r="NLI38" s="1001"/>
      <c r="NLJ38" s="1001"/>
      <c r="NLK38" s="1001"/>
      <c r="NLL38" s="1001"/>
      <c r="NLM38" s="1001"/>
      <c r="NLN38" s="1001"/>
      <c r="NLO38" s="1001"/>
      <c r="NLP38" s="1001"/>
      <c r="NLQ38" s="1001"/>
      <c r="NLR38" s="1001"/>
      <c r="NLS38" s="1001"/>
      <c r="NLT38" s="1001"/>
      <c r="NLU38" s="1001"/>
      <c r="NLV38" s="1001"/>
      <c r="NLW38" s="1001"/>
      <c r="NLX38" s="1001"/>
      <c r="NLY38" s="1001"/>
      <c r="NLZ38" s="1001"/>
      <c r="NMA38" s="1001"/>
      <c r="NMB38" s="1001"/>
      <c r="NMC38" s="1001"/>
      <c r="NMD38" s="1001"/>
      <c r="NME38" s="1001"/>
      <c r="NMF38" s="1001"/>
      <c r="NMG38" s="1001"/>
      <c r="NMH38" s="1001"/>
      <c r="NMI38" s="1001"/>
      <c r="NMJ38" s="1001"/>
      <c r="NMK38" s="1001"/>
      <c r="NML38" s="1001"/>
      <c r="NMM38" s="1001"/>
      <c r="NMN38" s="1001"/>
      <c r="NMO38" s="1001"/>
      <c r="NMP38" s="1001"/>
      <c r="NMQ38" s="1001"/>
      <c r="NMR38" s="1001"/>
      <c r="NMS38" s="1001"/>
      <c r="NMT38" s="1001"/>
      <c r="NMU38" s="1001"/>
      <c r="NMV38" s="1001"/>
      <c r="NMW38" s="1001"/>
      <c r="NMX38" s="1001"/>
      <c r="NMY38" s="1001"/>
      <c r="NMZ38" s="1001"/>
      <c r="NNA38" s="1001"/>
      <c r="NNB38" s="1001"/>
      <c r="NNC38" s="1001"/>
      <c r="NND38" s="1001"/>
      <c r="NNE38" s="1001"/>
      <c r="NNF38" s="1001"/>
      <c r="NNG38" s="1001"/>
      <c r="NNH38" s="1001"/>
      <c r="NNI38" s="1001"/>
      <c r="NNJ38" s="1001"/>
      <c r="NNK38" s="1001"/>
      <c r="NNL38" s="1001"/>
      <c r="NNM38" s="1001"/>
      <c r="NNN38" s="1001"/>
      <c r="NNO38" s="1001"/>
      <c r="NNP38" s="1001"/>
      <c r="NNQ38" s="1001"/>
      <c r="NNR38" s="1001"/>
      <c r="NNS38" s="1001"/>
      <c r="NNT38" s="1001"/>
      <c r="NNU38" s="1001"/>
      <c r="NNV38" s="1001"/>
      <c r="NNW38" s="1001"/>
      <c r="NNX38" s="1001"/>
      <c r="NNY38" s="1001"/>
      <c r="NNZ38" s="1001"/>
      <c r="NOA38" s="1001"/>
      <c r="NOB38" s="1001"/>
      <c r="NOC38" s="1001"/>
      <c r="NOD38" s="1001"/>
      <c r="NOE38" s="1001"/>
      <c r="NOF38" s="1001"/>
      <c r="NOG38" s="1001"/>
      <c r="NOH38" s="1001"/>
      <c r="NOI38" s="1001"/>
      <c r="NOJ38" s="1001"/>
      <c r="NOK38" s="1001"/>
      <c r="NOL38" s="1001"/>
      <c r="NOM38" s="1001"/>
      <c r="NON38" s="1001"/>
      <c r="NOO38" s="1001"/>
      <c r="NOP38" s="1001"/>
      <c r="NOQ38" s="1001"/>
      <c r="NOR38" s="1001"/>
      <c r="NOS38" s="1001"/>
      <c r="NOT38" s="1001"/>
      <c r="NOU38" s="1001"/>
      <c r="NOV38" s="1001"/>
      <c r="NOW38" s="1001"/>
      <c r="NOX38" s="1001"/>
      <c r="NOY38" s="1001"/>
      <c r="NOZ38" s="1001"/>
      <c r="NPA38" s="1001"/>
      <c r="NPB38" s="1001"/>
      <c r="NPC38" s="1001"/>
      <c r="NPD38" s="1001"/>
      <c r="NPE38" s="1001"/>
      <c r="NPF38" s="1001"/>
      <c r="NPG38" s="1001"/>
      <c r="NPH38" s="1001"/>
      <c r="NPI38" s="1001"/>
      <c r="NPJ38" s="1001"/>
      <c r="NPK38" s="1001"/>
      <c r="NPL38" s="1001"/>
      <c r="NPM38" s="1001"/>
      <c r="NPN38" s="1001"/>
      <c r="NPO38" s="1001"/>
      <c r="NPP38" s="1001"/>
      <c r="NPQ38" s="1001"/>
      <c r="NPR38" s="1001"/>
      <c r="NPS38" s="1001"/>
      <c r="NPT38" s="1001"/>
      <c r="NPU38" s="1001"/>
      <c r="NPV38" s="1001"/>
      <c r="NPW38" s="1001"/>
      <c r="NPX38" s="1001"/>
      <c r="NPY38" s="1001"/>
      <c r="NPZ38" s="1001"/>
      <c r="NQA38" s="1001"/>
      <c r="NQB38" s="1001"/>
      <c r="NQC38" s="1001"/>
      <c r="NQD38" s="1001"/>
      <c r="NQE38" s="1001"/>
      <c r="NQF38" s="1001"/>
      <c r="NQG38" s="1001"/>
      <c r="NQH38" s="1001"/>
      <c r="NQI38" s="1001"/>
      <c r="NQJ38" s="1001"/>
      <c r="NQK38" s="1001"/>
      <c r="NQL38" s="1001"/>
      <c r="NQM38" s="1001"/>
      <c r="NQN38" s="1001"/>
      <c r="NQO38" s="1001"/>
      <c r="NQP38" s="1001"/>
      <c r="NQQ38" s="1001"/>
      <c r="NQR38" s="1001"/>
      <c r="NQS38" s="1001"/>
      <c r="NQT38" s="1001"/>
      <c r="NQU38" s="1001"/>
      <c r="NQV38" s="1001"/>
      <c r="NQW38" s="1001"/>
      <c r="NQX38" s="1001"/>
      <c r="NQY38" s="1001"/>
      <c r="NQZ38" s="1001"/>
      <c r="NRA38" s="1001"/>
      <c r="NRB38" s="1001"/>
      <c r="NRC38" s="1001"/>
      <c r="NRD38" s="1001"/>
      <c r="NRE38" s="1001"/>
      <c r="NRF38" s="1001"/>
      <c r="NRG38" s="1001"/>
      <c r="NRH38" s="1001"/>
      <c r="NRI38" s="1001"/>
      <c r="NRJ38" s="1001"/>
      <c r="NRK38" s="1001"/>
      <c r="NRL38" s="1001"/>
      <c r="NRM38" s="1001"/>
      <c r="NRN38" s="1001"/>
      <c r="NRO38" s="1001"/>
      <c r="NRP38" s="1001"/>
      <c r="NRQ38" s="1001"/>
      <c r="NRR38" s="1001"/>
      <c r="NRS38" s="1001"/>
      <c r="NRT38" s="1001"/>
      <c r="NRU38" s="1001"/>
      <c r="NRV38" s="1001"/>
      <c r="NRW38" s="1001"/>
      <c r="NRX38" s="1001"/>
      <c r="NRY38" s="1001"/>
      <c r="NRZ38" s="1001"/>
      <c r="NSA38" s="1001"/>
      <c r="NSB38" s="1001"/>
      <c r="NSC38" s="1001"/>
      <c r="NSD38" s="1001"/>
      <c r="NSE38" s="1001"/>
      <c r="NSF38" s="1001"/>
      <c r="NSG38" s="1001"/>
      <c r="NSH38" s="1001"/>
      <c r="NSI38" s="1001"/>
      <c r="NSJ38" s="1001"/>
      <c r="NSK38" s="1001"/>
      <c r="NSL38" s="1001"/>
      <c r="NSM38" s="1001"/>
      <c r="NSN38" s="1001"/>
      <c r="NSO38" s="1001"/>
      <c r="NSP38" s="1001"/>
      <c r="NSQ38" s="1001"/>
      <c r="NSR38" s="1001"/>
      <c r="NSS38" s="1001"/>
      <c r="NST38" s="1001"/>
      <c r="NSU38" s="1001"/>
      <c r="NSV38" s="1001"/>
      <c r="NSW38" s="1001"/>
      <c r="NSX38" s="1001"/>
      <c r="NSY38" s="1001"/>
      <c r="NSZ38" s="1001"/>
      <c r="NTA38" s="1001"/>
      <c r="NTB38" s="1001"/>
      <c r="NTC38" s="1001"/>
      <c r="NTD38" s="1001"/>
      <c r="NTE38" s="1001"/>
      <c r="NTF38" s="1001"/>
      <c r="NTG38" s="1001"/>
      <c r="NTH38" s="1001"/>
      <c r="NTI38" s="1001"/>
      <c r="NTJ38" s="1001"/>
      <c r="NTK38" s="1001"/>
      <c r="NTL38" s="1001"/>
      <c r="NTM38" s="1001"/>
      <c r="NTN38" s="1001"/>
      <c r="NTO38" s="1001"/>
      <c r="NTP38" s="1001"/>
      <c r="NTQ38" s="1001"/>
      <c r="NTR38" s="1001"/>
      <c r="NTS38" s="1001"/>
      <c r="NTT38" s="1001"/>
      <c r="NTU38" s="1001"/>
      <c r="NTV38" s="1001"/>
      <c r="NTW38" s="1001"/>
      <c r="NTX38" s="1001"/>
      <c r="NTY38" s="1001"/>
      <c r="NTZ38" s="1001"/>
      <c r="NUA38" s="1001"/>
      <c r="NUB38" s="1001"/>
      <c r="NUC38" s="1001"/>
      <c r="NUD38" s="1001"/>
      <c r="NUE38" s="1001"/>
      <c r="NUF38" s="1001"/>
      <c r="NUG38" s="1001"/>
      <c r="NUH38" s="1001"/>
      <c r="NUI38" s="1001"/>
      <c r="NUJ38" s="1001"/>
      <c r="NUK38" s="1001"/>
      <c r="NUL38" s="1001"/>
      <c r="NUM38" s="1001"/>
      <c r="NUN38" s="1001"/>
      <c r="NUO38" s="1001"/>
      <c r="NUP38" s="1001"/>
      <c r="NUQ38" s="1001"/>
      <c r="NUR38" s="1001"/>
      <c r="NUS38" s="1001"/>
      <c r="NUT38" s="1001"/>
      <c r="NUU38" s="1001"/>
      <c r="NUV38" s="1001"/>
      <c r="NUW38" s="1001"/>
      <c r="NUX38" s="1001"/>
      <c r="NUY38" s="1001"/>
      <c r="NUZ38" s="1001"/>
      <c r="NVA38" s="1001"/>
      <c r="NVB38" s="1001"/>
      <c r="NVC38" s="1001"/>
      <c r="NVD38" s="1001"/>
      <c r="NVE38" s="1001"/>
      <c r="NVF38" s="1001"/>
      <c r="NVG38" s="1001"/>
      <c r="NVH38" s="1001"/>
      <c r="NVI38" s="1001"/>
      <c r="NVJ38" s="1001"/>
      <c r="NVK38" s="1001"/>
      <c r="NVL38" s="1001"/>
      <c r="NVM38" s="1001"/>
      <c r="NVN38" s="1001"/>
      <c r="NVO38" s="1001"/>
      <c r="NVP38" s="1001"/>
      <c r="NVQ38" s="1001"/>
      <c r="NVR38" s="1001"/>
      <c r="NVS38" s="1001"/>
      <c r="NVT38" s="1001"/>
      <c r="NVU38" s="1001"/>
      <c r="NVV38" s="1001"/>
      <c r="NVW38" s="1001"/>
      <c r="NVX38" s="1001"/>
      <c r="NVY38" s="1001"/>
      <c r="NVZ38" s="1001"/>
      <c r="NWA38" s="1001"/>
      <c r="NWB38" s="1001"/>
      <c r="NWC38" s="1001"/>
      <c r="NWD38" s="1001"/>
      <c r="NWE38" s="1001"/>
      <c r="NWF38" s="1001"/>
      <c r="NWG38" s="1001"/>
      <c r="NWH38" s="1001"/>
      <c r="NWI38" s="1001"/>
      <c r="NWJ38" s="1001"/>
      <c r="NWK38" s="1001"/>
      <c r="NWL38" s="1001"/>
      <c r="NWM38" s="1001"/>
      <c r="NWN38" s="1001"/>
      <c r="NWO38" s="1001"/>
      <c r="NWP38" s="1001"/>
      <c r="NWQ38" s="1001"/>
      <c r="NWR38" s="1001"/>
      <c r="NWS38" s="1001"/>
      <c r="NWT38" s="1001"/>
      <c r="NWU38" s="1001"/>
      <c r="NWV38" s="1001"/>
      <c r="NWW38" s="1001"/>
      <c r="NWX38" s="1001"/>
      <c r="NWY38" s="1001"/>
      <c r="NWZ38" s="1001"/>
      <c r="NXA38" s="1001"/>
      <c r="NXB38" s="1001"/>
      <c r="NXC38" s="1001"/>
      <c r="NXD38" s="1001"/>
      <c r="NXE38" s="1001"/>
      <c r="NXF38" s="1001"/>
      <c r="NXG38" s="1001"/>
      <c r="NXH38" s="1001"/>
      <c r="NXI38" s="1001"/>
      <c r="NXJ38" s="1001"/>
      <c r="NXK38" s="1001"/>
      <c r="NXL38" s="1001"/>
      <c r="NXM38" s="1001"/>
      <c r="NXN38" s="1001"/>
      <c r="NXO38" s="1001"/>
      <c r="NXP38" s="1001"/>
      <c r="NXQ38" s="1001"/>
      <c r="NXR38" s="1001"/>
      <c r="NXS38" s="1001"/>
      <c r="NXT38" s="1001"/>
      <c r="NXU38" s="1001"/>
      <c r="NXV38" s="1001"/>
      <c r="NXW38" s="1001"/>
      <c r="NXX38" s="1001"/>
      <c r="NXY38" s="1001"/>
      <c r="NXZ38" s="1001"/>
      <c r="NYA38" s="1001"/>
      <c r="NYB38" s="1001"/>
      <c r="NYC38" s="1001"/>
      <c r="NYD38" s="1001"/>
      <c r="NYE38" s="1001"/>
      <c r="NYF38" s="1001"/>
      <c r="NYG38" s="1001"/>
      <c r="NYH38" s="1001"/>
      <c r="NYI38" s="1001"/>
      <c r="NYJ38" s="1001"/>
      <c r="NYK38" s="1001"/>
      <c r="NYL38" s="1001"/>
      <c r="NYM38" s="1001"/>
      <c r="NYN38" s="1001"/>
      <c r="NYO38" s="1001"/>
      <c r="NYP38" s="1001"/>
      <c r="NYQ38" s="1001"/>
      <c r="NYR38" s="1001"/>
      <c r="NYS38" s="1001"/>
      <c r="NYT38" s="1001"/>
      <c r="NYU38" s="1001"/>
      <c r="NYV38" s="1001"/>
      <c r="NYW38" s="1001"/>
      <c r="NYX38" s="1001"/>
      <c r="NYY38" s="1001"/>
      <c r="NYZ38" s="1001"/>
      <c r="NZA38" s="1001"/>
      <c r="NZB38" s="1001"/>
      <c r="NZC38" s="1001"/>
      <c r="NZD38" s="1001"/>
      <c r="NZE38" s="1001"/>
      <c r="NZF38" s="1001"/>
      <c r="NZG38" s="1001"/>
      <c r="NZH38" s="1001"/>
      <c r="NZI38" s="1001"/>
      <c r="NZJ38" s="1001"/>
      <c r="NZK38" s="1001"/>
      <c r="NZL38" s="1001"/>
      <c r="NZM38" s="1001"/>
      <c r="NZN38" s="1001"/>
      <c r="NZO38" s="1001"/>
      <c r="NZP38" s="1001"/>
      <c r="NZQ38" s="1001"/>
      <c r="NZR38" s="1001"/>
      <c r="NZS38" s="1001"/>
      <c r="NZT38" s="1001"/>
      <c r="NZU38" s="1001"/>
      <c r="NZV38" s="1001"/>
      <c r="NZW38" s="1001"/>
      <c r="NZX38" s="1001"/>
      <c r="NZY38" s="1001"/>
      <c r="NZZ38" s="1001"/>
      <c r="OAA38" s="1001"/>
      <c r="OAB38" s="1001"/>
      <c r="OAC38" s="1001"/>
      <c r="OAD38" s="1001"/>
      <c r="OAE38" s="1001"/>
      <c r="OAF38" s="1001"/>
      <c r="OAG38" s="1001"/>
      <c r="OAH38" s="1001"/>
      <c r="OAI38" s="1001"/>
      <c r="OAJ38" s="1001"/>
      <c r="OAK38" s="1001"/>
      <c r="OAL38" s="1001"/>
      <c r="OAM38" s="1001"/>
      <c r="OAN38" s="1001"/>
      <c r="OAO38" s="1001"/>
      <c r="OAP38" s="1001"/>
      <c r="OAQ38" s="1001"/>
      <c r="OAR38" s="1001"/>
      <c r="OAS38" s="1001"/>
      <c r="OAT38" s="1001"/>
      <c r="OAU38" s="1001"/>
      <c r="OAV38" s="1001"/>
      <c r="OAW38" s="1001"/>
      <c r="OAX38" s="1001"/>
      <c r="OAY38" s="1001"/>
      <c r="OAZ38" s="1001"/>
      <c r="OBA38" s="1001"/>
      <c r="OBB38" s="1001"/>
      <c r="OBC38" s="1001"/>
      <c r="OBD38" s="1001"/>
      <c r="OBE38" s="1001"/>
      <c r="OBF38" s="1001"/>
      <c r="OBG38" s="1001"/>
      <c r="OBH38" s="1001"/>
      <c r="OBI38" s="1001"/>
      <c r="OBJ38" s="1001"/>
      <c r="OBK38" s="1001"/>
      <c r="OBL38" s="1001"/>
      <c r="OBM38" s="1001"/>
      <c r="OBN38" s="1001"/>
      <c r="OBO38" s="1001"/>
      <c r="OBP38" s="1001"/>
      <c r="OBQ38" s="1001"/>
      <c r="OBR38" s="1001"/>
      <c r="OBS38" s="1001"/>
      <c r="OBT38" s="1001"/>
      <c r="OBU38" s="1001"/>
      <c r="OBV38" s="1001"/>
      <c r="OBW38" s="1001"/>
      <c r="OBX38" s="1001"/>
      <c r="OBY38" s="1001"/>
      <c r="OBZ38" s="1001"/>
      <c r="OCA38" s="1001"/>
      <c r="OCB38" s="1001"/>
      <c r="OCC38" s="1001"/>
      <c r="OCD38" s="1001"/>
      <c r="OCE38" s="1001"/>
      <c r="OCF38" s="1001"/>
      <c r="OCG38" s="1001"/>
      <c r="OCH38" s="1001"/>
      <c r="OCI38" s="1001"/>
      <c r="OCJ38" s="1001"/>
      <c r="OCK38" s="1001"/>
      <c r="OCL38" s="1001"/>
      <c r="OCM38" s="1001"/>
      <c r="OCN38" s="1001"/>
      <c r="OCO38" s="1001"/>
      <c r="OCP38" s="1001"/>
      <c r="OCQ38" s="1001"/>
      <c r="OCR38" s="1001"/>
      <c r="OCS38" s="1001"/>
      <c r="OCT38" s="1001"/>
      <c r="OCU38" s="1001"/>
      <c r="OCV38" s="1001"/>
      <c r="OCW38" s="1001"/>
      <c r="OCX38" s="1001"/>
      <c r="OCY38" s="1001"/>
      <c r="OCZ38" s="1001"/>
      <c r="ODA38" s="1001"/>
      <c r="ODB38" s="1001"/>
      <c r="ODC38" s="1001"/>
      <c r="ODD38" s="1001"/>
      <c r="ODE38" s="1001"/>
      <c r="ODF38" s="1001"/>
      <c r="ODG38" s="1001"/>
      <c r="ODH38" s="1001"/>
      <c r="ODI38" s="1001"/>
      <c r="ODJ38" s="1001"/>
      <c r="ODK38" s="1001"/>
      <c r="ODL38" s="1001"/>
      <c r="ODM38" s="1001"/>
      <c r="ODN38" s="1001"/>
      <c r="ODO38" s="1001"/>
      <c r="ODP38" s="1001"/>
      <c r="ODQ38" s="1001"/>
      <c r="ODR38" s="1001"/>
      <c r="ODS38" s="1001"/>
      <c r="ODT38" s="1001"/>
      <c r="ODU38" s="1001"/>
      <c r="ODV38" s="1001"/>
      <c r="ODW38" s="1001"/>
      <c r="ODX38" s="1001"/>
      <c r="ODY38" s="1001"/>
      <c r="ODZ38" s="1001"/>
      <c r="OEA38" s="1001"/>
      <c r="OEB38" s="1001"/>
      <c r="OEC38" s="1001"/>
      <c r="OED38" s="1001"/>
      <c r="OEE38" s="1001"/>
      <c r="OEF38" s="1001"/>
      <c r="OEG38" s="1001"/>
      <c r="OEH38" s="1001"/>
      <c r="OEI38" s="1001"/>
      <c r="OEJ38" s="1001"/>
      <c r="OEK38" s="1001"/>
      <c r="OEL38" s="1001"/>
      <c r="OEM38" s="1001"/>
      <c r="OEN38" s="1001"/>
      <c r="OEO38" s="1001"/>
      <c r="OEP38" s="1001"/>
      <c r="OEQ38" s="1001"/>
      <c r="OER38" s="1001"/>
      <c r="OES38" s="1001"/>
      <c r="OET38" s="1001"/>
      <c r="OEU38" s="1001"/>
      <c r="OEV38" s="1001"/>
      <c r="OEW38" s="1001"/>
      <c r="OEX38" s="1001"/>
      <c r="OEY38" s="1001"/>
      <c r="OEZ38" s="1001"/>
      <c r="OFA38" s="1001"/>
      <c r="OFB38" s="1001"/>
      <c r="OFC38" s="1001"/>
      <c r="OFD38" s="1001"/>
      <c r="OFE38" s="1001"/>
      <c r="OFF38" s="1001"/>
      <c r="OFG38" s="1001"/>
      <c r="OFH38" s="1001"/>
      <c r="OFI38" s="1001"/>
      <c r="OFJ38" s="1001"/>
      <c r="OFK38" s="1001"/>
      <c r="OFL38" s="1001"/>
      <c r="OFM38" s="1001"/>
      <c r="OFN38" s="1001"/>
      <c r="OFO38" s="1001"/>
      <c r="OFP38" s="1001"/>
      <c r="OFQ38" s="1001"/>
      <c r="OFR38" s="1001"/>
      <c r="OFS38" s="1001"/>
      <c r="OFT38" s="1001"/>
      <c r="OFU38" s="1001"/>
      <c r="OFV38" s="1001"/>
      <c r="OFW38" s="1001"/>
      <c r="OFX38" s="1001"/>
      <c r="OFY38" s="1001"/>
      <c r="OFZ38" s="1001"/>
      <c r="OGA38" s="1001"/>
      <c r="OGB38" s="1001"/>
      <c r="OGC38" s="1001"/>
      <c r="OGD38" s="1001"/>
      <c r="OGE38" s="1001"/>
      <c r="OGF38" s="1001"/>
      <c r="OGG38" s="1001"/>
      <c r="OGH38" s="1001"/>
      <c r="OGI38" s="1001"/>
      <c r="OGJ38" s="1001"/>
      <c r="OGK38" s="1001"/>
      <c r="OGL38" s="1001"/>
      <c r="OGM38" s="1001"/>
      <c r="OGN38" s="1001"/>
      <c r="OGO38" s="1001"/>
      <c r="OGP38" s="1001"/>
      <c r="OGQ38" s="1001"/>
      <c r="OGR38" s="1001"/>
      <c r="OGS38" s="1001"/>
      <c r="OGT38" s="1001"/>
      <c r="OGU38" s="1001"/>
      <c r="OGV38" s="1001"/>
      <c r="OGW38" s="1001"/>
      <c r="OGX38" s="1001"/>
      <c r="OGY38" s="1001"/>
      <c r="OGZ38" s="1001"/>
      <c r="OHA38" s="1001"/>
      <c r="OHB38" s="1001"/>
      <c r="OHC38" s="1001"/>
      <c r="OHD38" s="1001"/>
      <c r="OHE38" s="1001"/>
      <c r="OHF38" s="1001"/>
      <c r="OHG38" s="1001"/>
      <c r="OHH38" s="1001"/>
      <c r="OHI38" s="1001"/>
      <c r="OHJ38" s="1001"/>
      <c r="OHK38" s="1001"/>
      <c r="OHL38" s="1001"/>
      <c r="OHM38" s="1001"/>
      <c r="OHN38" s="1001"/>
      <c r="OHO38" s="1001"/>
      <c r="OHP38" s="1001"/>
      <c r="OHQ38" s="1001"/>
      <c r="OHR38" s="1001"/>
      <c r="OHS38" s="1001"/>
      <c r="OHT38" s="1001"/>
      <c r="OHU38" s="1001"/>
      <c r="OHV38" s="1001"/>
      <c r="OHW38" s="1001"/>
      <c r="OHX38" s="1001"/>
      <c r="OHY38" s="1001"/>
      <c r="OHZ38" s="1001"/>
      <c r="OIA38" s="1001"/>
      <c r="OIB38" s="1001"/>
      <c r="OIC38" s="1001"/>
      <c r="OID38" s="1001"/>
      <c r="OIE38" s="1001"/>
      <c r="OIF38" s="1001"/>
      <c r="OIG38" s="1001"/>
      <c r="OIH38" s="1001"/>
      <c r="OII38" s="1001"/>
      <c r="OIJ38" s="1001"/>
      <c r="OIK38" s="1001"/>
      <c r="OIL38" s="1001"/>
      <c r="OIM38" s="1001"/>
      <c r="OIN38" s="1001"/>
      <c r="OIO38" s="1001"/>
      <c r="OIP38" s="1001"/>
      <c r="OIQ38" s="1001"/>
      <c r="OIR38" s="1001"/>
      <c r="OIS38" s="1001"/>
      <c r="OIT38" s="1001"/>
      <c r="OIU38" s="1001"/>
      <c r="OIV38" s="1001"/>
      <c r="OIW38" s="1001"/>
      <c r="OIX38" s="1001"/>
      <c r="OIY38" s="1001"/>
      <c r="OIZ38" s="1001"/>
      <c r="OJA38" s="1001"/>
      <c r="OJB38" s="1001"/>
      <c r="OJC38" s="1001"/>
      <c r="OJD38" s="1001"/>
      <c r="OJE38" s="1001"/>
      <c r="OJF38" s="1001"/>
      <c r="OJG38" s="1001"/>
      <c r="OJH38" s="1001"/>
      <c r="OJI38" s="1001"/>
      <c r="OJJ38" s="1001"/>
      <c r="OJK38" s="1001"/>
      <c r="OJL38" s="1001"/>
      <c r="OJM38" s="1001"/>
      <c r="OJN38" s="1001"/>
      <c r="OJO38" s="1001"/>
      <c r="OJP38" s="1001"/>
      <c r="OJQ38" s="1001"/>
      <c r="OJR38" s="1001"/>
      <c r="OJS38" s="1001"/>
      <c r="OJT38" s="1001"/>
      <c r="OJU38" s="1001"/>
      <c r="OJV38" s="1001"/>
      <c r="OJW38" s="1001"/>
      <c r="OJX38" s="1001"/>
      <c r="OJY38" s="1001"/>
      <c r="OJZ38" s="1001"/>
      <c r="OKA38" s="1001"/>
      <c r="OKB38" s="1001"/>
      <c r="OKC38" s="1001"/>
      <c r="OKD38" s="1001"/>
      <c r="OKE38" s="1001"/>
      <c r="OKF38" s="1001"/>
      <c r="OKG38" s="1001"/>
      <c r="OKH38" s="1001"/>
      <c r="OKI38" s="1001"/>
      <c r="OKJ38" s="1001"/>
      <c r="OKK38" s="1001"/>
      <c r="OKL38" s="1001"/>
      <c r="OKM38" s="1001"/>
      <c r="OKN38" s="1001"/>
      <c r="OKO38" s="1001"/>
      <c r="OKP38" s="1001"/>
      <c r="OKQ38" s="1001"/>
      <c r="OKR38" s="1001"/>
      <c r="OKS38" s="1001"/>
      <c r="OKT38" s="1001"/>
      <c r="OKU38" s="1001"/>
      <c r="OKV38" s="1001"/>
      <c r="OKW38" s="1001"/>
      <c r="OKX38" s="1001"/>
      <c r="OKY38" s="1001"/>
      <c r="OKZ38" s="1001"/>
      <c r="OLA38" s="1001"/>
      <c r="OLB38" s="1001"/>
      <c r="OLC38" s="1001"/>
      <c r="OLD38" s="1001"/>
      <c r="OLE38" s="1001"/>
      <c r="OLF38" s="1001"/>
      <c r="OLG38" s="1001"/>
      <c r="OLH38" s="1001"/>
      <c r="OLI38" s="1001"/>
      <c r="OLJ38" s="1001"/>
      <c r="OLK38" s="1001"/>
      <c r="OLL38" s="1001"/>
      <c r="OLM38" s="1001"/>
      <c r="OLN38" s="1001"/>
      <c r="OLO38" s="1001"/>
      <c r="OLP38" s="1001"/>
      <c r="OLQ38" s="1001"/>
      <c r="OLR38" s="1001"/>
      <c r="OLS38" s="1001"/>
      <c r="OLT38" s="1001"/>
      <c r="OLU38" s="1001"/>
      <c r="OLV38" s="1001"/>
      <c r="OLW38" s="1001"/>
      <c r="OLX38" s="1001"/>
      <c r="OLY38" s="1001"/>
      <c r="OLZ38" s="1001"/>
      <c r="OMA38" s="1001"/>
      <c r="OMB38" s="1001"/>
      <c r="OMC38" s="1001"/>
      <c r="OMD38" s="1001"/>
      <c r="OME38" s="1001"/>
      <c r="OMF38" s="1001"/>
      <c r="OMG38" s="1001"/>
      <c r="OMH38" s="1001"/>
      <c r="OMI38" s="1001"/>
      <c r="OMJ38" s="1001"/>
      <c r="OMK38" s="1001"/>
      <c r="OML38" s="1001"/>
      <c r="OMM38" s="1001"/>
      <c r="OMN38" s="1001"/>
      <c r="OMO38" s="1001"/>
      <c r="OMP38" s="1001"/>
      <c r="OMQ38" s="1001"/>
      <c r="OMR38" s="1001"/>
      <c r="OMS38" s="1001"/>
      <c r="OMT38" s="1001"/>
      <c r="OMU38" s="1001"/>
      <c r="OMV38" s="1001"/>
      <c r="OMW38" s="1001"/>
      <c r="OMX38" s="1001"/>
      <c r="OMY38" s="1001"/>
      <c r="OMZ38" s="1001"/>
      <c r="ONA38" s="1001"/>
      <c r="ONB38" s="1001"/>
      <c r="ONC38" s="1001"/>
      <c r="OND38" s="1001"/>
      <c r="ONE38" s="1001"/>
      <c r="ONF38" s="1001"/>
      <c r="ONG38" s="1001"/>
      <c r="ONH38" s="1001"/>
      <c r="ONI38" s="1001"/>
      <c r="ONJ38" s="1001"/>
      <c r="ONK38" s="1001"/>
      <c r="ONL38" s="1001"/>
      <c r="ONM38" s="1001"/>
      <c r="ONN38" s="1001"/>
      <c r="ONO38" s="1001"/>
      <c r="ONP38" s="1001"/>
      <c r="ONQ38" s="1001"/>
      <c r="ONR38" s="1001"/>
      <c r="ONS38" s="1001"/>
      <c r="ONT38" s="1001"/>
      <c r="ONU38" s="1001"/>
      <c r="ONV38" s="1001"/>
      <c r="ONW38" s="1001"/>
      <c r="ONX38" s="1001"/>
      <c r="ONY38" s="1001"/>
      <c r="ONZ38" s="1001"/>
      <c r="OOA38" s="1001"/>
      <c r="OOB38" s="1001"/>
      <c r="OOC38" s="1001"/>
      <c r="OOD38" s="1001"/>
      <c r="OOE38" s="1001"/>
      <c r="OOF38" s="1001"/>
      <c r="OOG38" s="1001"/>
      <c r="OOH38" s="1001"/>
      <c r="OOI38" s="1001"/>
      <c r="OOJ38" s="1001"/>
      <c r="OOK38" s="1001"/>
      <c r="OOL38" s="1001"/>
      <c r="OOM38" s="1001"/>
      <c r="OON38" s="1001"/>
      <c r="OOO38" s="1001"/>
      <c r="OOP38" s="1001"/>
      <c r="OOQ38" s="1001"/>
      <c r="OOR38" s="1001"/>
      <c r="OOS38" s="1001"/>
      <c r="OOT38" s="1001"/>
      <c r="OOU38" s="1001"/>
      <c r="OOV38" s="1001"/>
      <c r="OOW38" s="1001"/>
      <c r="OOX38" s="1001"/>
      <c r="OOY38" s="1001"/>
      <c r="OOZ38" s="1001"/>
      <c r="OPA38" s="1001"/>
      <c r="OPB38" s="1001"/>
      <c r="OPC38" s="1001"/>
      <c r="OPD38" s="1001"/>
      <c r="OPE38" s="1001"/>
      <c r="OPF38" s="1001"/>
      <c r="OPG38" s="1001"/>
      <c r="OPH38" s="1001"/>
      <c r="OPI38" s="1001"/>
      <c r="OPJ38" s="1001"/>
      <c r="OPK38" s="1001"/>
      <c r="OPL38" s="1001"/>
      <c r="OPM38" s="1001"/>
      <c r="OPN38" s="1001"/>
      <c r="OPO38" s="1001"/>
      <c r="OPP38" s="1001"/>
      <c r="OPQ38" s="1001"/>
      <c r="OPR38" s="1001"/>
      <c r="OPS38" s="1001"/>
      <c r="OPT38" s="1001"/>
      <c r="OPU38" s="1001"/>
      <c r="OPV38" s="1001"/>
      <c r="OPW38" s="1001"/>
      <c r="OPX38" s="1001"/>
      <c r="OPY38" s="1001"/>
      <c r="OPZ38" s="1001"/>
      <c r="OQA38" s="1001"/>
      <c r="OQB38" s="1001"/>
      <c r="OQC38" s="1001"/>
      <c r="OQD38" s="1001"/>
      <c r="OQE38" s="1001"/>
      <c r="OQF38" s="1001"/>
      <c r="OQG38" s="1001"/>
      <c r="OQH38" s="1001"/>
      <c r="OQI38" s="1001"/>
      <c r="OQJ38" s="1001"/>
      <c r="OQK38" s="1001"/>
      <c r="OQL38" s="1001"/>
      <c r="OQM38" s="1001"/>
      <c r="OQN38" s="1001"/>
      <c r="OQO38" s="1001"/>
      <c r="OQP38" s="1001"/>
      <c r="OQQ38" s="1001"/>
      <c r="OQR38" s="1001"/>
      <c r="OQS38" s="1001"/>
      <c r="OQT38" s="1001"/>
      <c r="OQU38" s="1001"/>
      <c r="OQV38" s="1001"/>
      <c r="OQW38" s="1001"/>
      <c r="OQX38" s="1001"/>
      <c r="OQY38" s="1001"/>
      <c r="OQZ38" s="1001"/>
      <c r="ORA38" s="1001"/>
      <c r="ORB38" s="1001"/>
      <c r="ORC38" s="1001"/>
      <c r="ORD38" s="1001"/>
      <c r="ORE38" s="1001"/>
      <c r="ORF38" s="1001"/>
      <c r="ORG38" s="1001"/>
      <c r="ORH38" s="1001"/>
      <c r="ORI38" s="1001"/>
      <c r="ORJ38" s="1001"/>
      <c r="ORK38" s="1001"/>
      <c r="ORL38" s="1001"/>
      <c r="ORM38" s="1001"/>
      <c r="ORN38" s="1001"/>
      <c r="ORO38" s="1001"/>
      <c r="ORP38" s="1001"/>
      <c r="ORQ38" s="1001"/>
      <c r="ORR38" s="1001"/>
      <c r="ORS38" s="1001"/>
      <c r="ORT38" s="1001"/>
      <c r="ORU38" s="1001"/>
      <c r="ORV38" s="1001"/>
      <c r="ORW38" s="1001"/>
      <c r="ORX38" s="1001"/>
      <c r="ORY38" s="1001"/>
      <c r="ORZ38" s="1001"/>
      <c r="OSA38" s="1001"/>
      <c r="OSB38" s="1001"/>
      <c r="OSC38" s="1001"/>
      <c r="OSD38" s="1001"/>
      <c r="OSE38" s="1001"/>
      <c r="OSF38" s="1001"/>
      <c r="OSG38" s="1001"/>
      <c r="OSH38" s="1001"/>
      <c r="OSI38" s="1001"/>
      <c r="OSJ38" s="1001"/>
      <c r="OSK38" s="1001"/>
      <c r="OSL38" s="1001"/>
      <c r="OSM38" s="1001"/>
      <c r="OSN38" s="1001"/>
      <c r="OSO38" s="1001"/>
      <c r="OSP38" s="1001"/>
      <c r="OSQ38" s="1001"/>
      <c r="OSR38" s="1001"/>
      <c r="OSS38" s="1001"/>
      <c r="OST38" s="1001"/>
      <c r="OSU38" s="1001"/>
      <c r="OSV38" s="1001"/>
      <c r="OSW38" s="1001"/>
      <c r="OSX38" s="1001"/>
      <c r="OSY38" s="1001"/>
      <c r="OSZ38" s="1001"/>
      <c r="OTA38" s="1001"/>
      <c r="OTB38" s="1001"/>
      <c r="OTC38" s="1001"/>
      <c r="OTD38" s="1001"/>
      <c r="OTE38" s="1001"/>
      <c r="OTF38" s="1001"/>
      <c r="OTG38" s="1001"/>
      <c r="OTH38" s="1001"/>
      <c r="OTI38" s="1001"/>
      <c r="OTJ38" s="1001"/>
      <c r="OTK38" s="1001"/>
      <c r="OTL38" s="1001"/>
      <c r="OTM38" s="1001"/>
      <c r="OTN38" s="1001"/>
      <c r="OTO38" s="1001"/>
      <c r="OTP38" s="1001"/>
      <c r="OTQ38" s="1001"/>
      <c r="OTR38" s="1001"/>
      <c r="OTS38" s="1001"/>
      <c r="OTT38" s="1001"/>
      <c r="OTU38" s="1001"/>
      <c r="OTV38" s="1001"/>
      <c r="OTW38" s="1001"/>
      <c r="OTX38" s="1001"/>
      <c r="OTY38" s="1001"/>
      <c r="OTZ38" s="1001"/>
      <c r="OUA38" s="1001"/>
      <c r="OUB38" s="1001"/>
      <c r="OUC38" s="1001"/>
      <c r="OUD38" s="1001"/>
      <c r="OUE38" s="1001"/>
      <c r="OUF38" s="1001"/>
      <c r="OUG38" s="1001"/>
      <c r="OUH38" s="1001"/>
      <c r="OUI38" s="1001"/>
      <c r="OUJ38" s="1001"/>
      <c r="OUK38" s="1001"/>
      <c r="OUL38" s="1001"/>
      <c r="OUM38" s="1001"/>
      <c r="OUN38" s="1001"/>
      <c r="OUO38" s="1001"/>
      <c r="OUP38" s="1001"/>
      <c r="OUQ38" s="1001"/>
      <c r="OUR38" s="1001"/>
      <c r="OUS38" s="1001"/>
      <c r="OUT38" s="1001"/>
      <c r="OUU38" s="1001"/>
      <c r="OUV38" s="1001"/>
      <c r="OUW38" s="1001"/>
      <c r="OUX38" s="1001"/>
      <c r="OUY38" s="1001"/>
      <c r="OUZ38" s="1001"/>
      <c r="OVA38" s="1001"/>
      <c r="OVB38" s="1001"/>
      <c r="OVC38" s="1001"/>
      <c r="OVD38" s="1001"/>
      <c r="OVE38" s="1001"/>
      <c r="OVF38" s="1001"/>
      <c r="OVG38" s="1001"/>
      <c r="OVH38" s="1001"/>
      <c r="OVI38" s="1001"/>
      <c r="OVJ38" s="1001"/>
      <c r="OVK38" s="1001"/>
      <c r="OVL38" s="1001"/>
      <c r="OVM38" s="1001"/>
      <c r="OVN38" s="1001"/>
      <c r="OVO38" s="1001"/>
      <c r="OVP38" s="1001"/>
      <c r="OVQ38" s="1001"/>
      <c r="OVR38" s="1001"/>
      <c r="OVS38" s="1001"/>
      <c r="OVT38" s="1001"/>
      <c r="OVU38" s="1001"/>
      <c r="OVV38" s="1001"/>
      <c r="OVW38" s="1001"/>
      <c r="OVX38" s="1001"/>
      <c r="OVY38" s="1001"/>
      <c r="OVZ38" s="1001"/>
      <c r="OWA38" s="1001"/>
      <c r="OWB38" s="1001"/>
      <c r="OWC38" s="1001"/>
      <c r="OWD38" s="1001"/>
      <c r="OWE38" s="1001"/>
      <c r="OWF38" s="1001"/>
      <c r="OWG38" s="1001"/>
      <c r="OWH38" s="1001"/>
      <c r="OWI38" s="1001"/>
      <c r="OWJ38" s="1001"/>
      <c r="OWK38" s="1001"/>
      <c r="OWL38" s="1001"/>
      <c r="OWM38" s="1001"/>
      <c r="OWN38" s="1001"/>
      <c r="OWO38" s="1001"/>
      <c r="OWP38" s="1001"/>
      <c r="OWQ38" s="1001"/>
      <c r="OWR38" s="1001"/>
      <c r="OWS38" s="1001"/>
      <c r="OWT38" s="1001"/>
      <c r="OWU38" s="1001"/>
      <c r="OWV38" s="1001"/>
      <c r="OWW38" s="1001"/>
      <c r="OWX38" s="1001"/>
      <c r="OWY38" s="1001"/>
      <c r="OWZ38" s="1001"/>
      <c r="OXA38" s="1001"/>
      <c r="OXB38" s="1001"/>
      <c r="OXC38" s="1001"/>
      <c r="OXD38" s="1001"/>
      <c r="OXE38" s="1001"/>
      <c r="OXF38" s="1001"/>
      <c r="OXG38" s="1001"/>
      <c r="OXH38" s="1001"/>
      <c r="OXI38" s="1001"/>
      <c r="OXJ38" s="1001"/>
      <c r="OXK38" s="1001"/>
      <c r="OXL38" s="1001"/>
      <c r="OXM38" s="1001"/>
      <c r="OXN38" s="1001"/>
      <c r="OXO38" s="1001"/>
      <c r="OXP38" s="1001"/>
      <c r="OXQ38" s="1001"/>
      <c r="OXR38" s="1001"/>
      <c r="OXS38" s="1001"/>
      <c r="OXT38" s="1001"/>
      <c r="OXU38" s="1001"/>
      <c r="OXV38" s="1001"/>
      <c r="OXW38" s="1001"/>
      <c r="OXX38" s="1001"/>
      <c r="OXY38" s="1001"/>
      <c r="OXZ38" s="1001"/>
      <c r="OYA38" s="1001"/>
      <c r="OYB38" s="1001"/>
      <c r="OYC38" s="1001"/>
      <c r="OYD38" s="1001"/>
      <c r="OYE38" s="1001"/>
      <c r="OYF38" s="1001"/>
      <c r="OYG38" s="1001"/>
      <c r="OYH38" s="1001"/>
      <c r="OYI38" s="1001"/>
      <c r="OYJ38" s="1001"/>
      <c r="OYK38" s="1001"/>
      <c r="OYL38" s="1001"/>
      <c r="OYM38" s="1001"/>
      <c r="OYN38" s="1001"/>
      <c r="OYO38" s="1001"/>
      <c r="OYP38" s="1001"/>
      <c r="OYQ38" s="1001"/>
      <c r="OYR38" s="1001"/>
      <c r="OYS38" s="1001"/>
      <c r="OYT38" s="1001"/>
      <c r="OYU38" s="1001"/>
      <c r="OYV38" s="1001"/>
      <c r="OYW38" s="1001"/>
      <c r="OYX38" s="1001"/>
      <c r="OYY38" s="1001"/>
      <c r="OYZ38" s="1001"/>
      <c r="OZA38" s="1001"/>
      <c r="OZB38" s="1001"/>
      <c r="OZC38" s="1001"/>
      <c r="OZD38" s="1001"/>
      <c r="OZE38" s="1001"/>
      <c r="OZF38" s="1001"/>
      <c r="OZG38" s="1001"/>
      <c r="OZH38" s="1001"/>
      <c r="OZI38" s="1001"/>
      <c r="OZJ38" s="1001"/>
      <c r="OZK38" s="1001"/>
      <c r="OZL38" s="1001"/>
      <c r="OZM38" s="1001"/>
      <c r="OZN38" s="1001"/>
      <c r="OZO38" s="1001"/>
      <c r="OZP38" s="1001"/>
      <c r="OZQ38" s="1001"/>
      <c r="OZR38" s="1001"/>
      <c r="OZS38" s="1001"/>
      <c r="OZT38" s="1001"/>
      <c r="OZU38" s="1001"/>
      <c r="OZV38" s="1001"/>
      <c r="OZW38" s="1001"/>
      <c r="OZX38" s="1001"/>
      <c r="OZY38" s="1001"/>
      <c r="OZZ38" s="1001"/>
      <c r="PAA38" s="1001"/>
      <c r="PAB38" s="1001"/>
      <c r="PAC38" s="1001"/>
      <c r="PAD38" s="1001"/>
      <c r="PAE38" s="1001"/>
      <c r="PAF38" s="1001"/>
      <c r="PAG38" s="1001"/>
      <c r="PAH38" s="1001"/>
      <c r="PAI38" s="1001"/>
      <c r="PAJ38" s="1001"/>
      <c r="PAK38" s="1001"/>
      <c r="PAL38" s="1001"/>
      <c r="PAM38" s="1001"/>
      <c r="PAN38" s="1001"/>
      <c r="PAO38" s="1001"/>
      <c r="PAP38" s="1001"/>
      <c r="PAQ38" s="1001"/>
      <c r="PAR38" s="1001"/>
      <c r="PAS38" s="1001"/>
      <c r="PAT38" s="1001"/>
      <c r="PAU38" s="1001"/>
      <c r="PAV38" s="1001"/>
      <c r="PAW38" s="1001"/>
      <c r="PAX38" s="1001"/>
      <c r="PAY38" s="1001"/>
      <c r="PAZ38" s="1001"/>
      <c r="PBA38" s="1001"/>
      <c r="PBB38" s="1001"/>
      <c r="PBC38" s="1001"/>
      <c r="PBD38" s="1001"/>
      <c r="PBE38" s="1001"/>
      <c r="PBF38" s="1001"/>
      <c r="PBG38" s="1001"/>
      <c r="PBH38" s="1001"/>
      <c r="PBI38" s="1001"/>
      <c r="PBJ38" s="1001"/>
      <c r="PBK38" s="1001"/>
      <c r="PBL38" s="1001"/>
      <c r="PBM38" s="1001"/>
      <c r="PBN38" s="1001"/>
      <c r="PBO38" s="1001"/>
      <c r="PBP38" s="1001"/>
      <c r="PBQ38" s="1001"/>
      <c r="PBR38" s="1001"/>
      <c r="PBS38" s="1001"/>
      <c r="PBT38" s="1001"/>
      <c r="PBU38" s="1001"/>
      <c r="PBV38" s="1001"/>
      <c r="PBW38" s="1001"/>
      <c r="PBX38" s="1001"/>
      <c r="PBY38" s="1001"/>
      <c r="PBZ38" s="1001"/>
      <c r="PCA38" s="1001"/>
      <c r="PCB38" s="1001"/>
      <c r="PCC38" s="1001"/>
      <c r="PCD38" s="1001"/>
      <c r="PCE38" s="1001"/>
      <c r="PCF38" s="1001"/>
      <c r="PCG38" s="1001"/>
      <c r="PCH38" s="1001"/>
      <c r="PCI38" s="1001"/>
      <c r="PCJ38" s="1001"/>
      <c r="PCK38" s="1001"/>
      <c r="PCL38" s="1001"/>
      <c r="PCM38" s="1001"/>
      <c r="PCN38" s="1001"/>
      <c r="PCO38" s="1001"/>
      <c r="PCP38" s="1001"/>
      <c r="PCQ38" s="1001"/>
      <c r="PCR38" s="1001"/>
      <c r="PCS38" s="1001"/>
      <c r="PCT38" s="1001"/>
      <c r="PCU38" s="1001"/>
      <c r="PCV38" s="1001"/>
      <c r="PCW38" s="1001"/>
      <c r="PCX38" s="1001"/>
      <c r="PCY38" s="1001"/>
      <c r="PCZ38" s="1001"/>
      <c r="PDA38" s="1001"/>
      <c r="PDB38" s="1001"/>
      <c r="PDC38" s="1001"/>
      <c r="PDD38" s="1001"/>
      <c r="PDE38" s="1001"/>
      <c r="PDF38" s="1001"/>
      <c r="PDG38" s="1001"/>
      <c r="PDH38" s="1001"/>
      <c r="PDI38" s="1001"/>
      <c r="PDJ38" s="1001"/>
      <c r="PDK38" s="1001"/>
      <c r="PDL38" s="1001"/>
      <c r="PDM38" s="1001"/>
      <c r="PDN38" s="1001"/>
      <c r="PDO38" s="1001"/>
      <c r="PDP38" s="1001"/>
      <c r="PDQ38" s="1001"/>
      <c r="PDR38" s="1001"/>
      <c r="PDS38" s="1001"/>
      <c r="PDT38" s="1001"/>
      <c r="PDU38" s="1001"/>
      <c r="PDV38" s="1001"/>
      <c r="PDW38" s="1001"/>
      <c r="PDX38" s="1001"/>
      <c r="PDY38" s="1001"/>
      <c r="PDZ38" s="1001"/>
      <c r="PEA38" s="1001"/>
      <c r="PEB38" s="1001"/>
      <c r="PEC38" s="1001"/>
      <c r="PED38" s="1001"/>
      <c r="PEE38" s="1001"/>
      <c r="PEF38" s="1001"/>
      <c r="PEG38" s="1001"/>
      <c r="PEH38" s="1001"/>
      <c r="PEI38" s="1001"/>
      <c r="PEJ38" s="1001"/>
      <c r="PEK38" s="1001"/>
      <c r="PEL38" s="1001"/>
      <c r="PEM38" s="1001"/>
      <c r="PEN38" s="1001"/>
      <c r="PEO38" s="1001"/>
      <c r="PEP38" s="1001"/>
      <c r="PEQ38" s="1001"/>
      <c r="PER38" s="1001"/>
      <c r="PES38" s="1001"/>
      <c r="PET38" s="1001"/>
      <c r="PEU38" s="1001"/>
      <c r="PEV38" s="1001"/>
      <c r="PEW38" s="1001"/>
      <c r="PEX38" s="1001"/>
      <c r="PEY38" s="1001"/>
      <c r="PEZ38" s="1001"/>
      <c r="PFA38" s="1001"/>
      <c r="PFB38" s="1001"/>
      <c r="PFC38" s="1001"/>
      <c r="PFD38" s="1001"/>
      <c r="PFE38" s="1001"/>
      <c r="PFF38" s="1001"/>
      <c r="PFG38" s="1001"/>
      <c r="PFH38" s="1001"/>
      <c r="PFI38" s="1001"/>
      <c r="PFJ38" s="1001"/>
      <c r="PFK38" s="1001"/>
      <c r="PFL38" s="1001"/>
      <c r="PFM38" s="1001"/>
      <c r="PFN38" s="1001"/>
      <c r="PFO38" s="1001"/>
      <c r="PFP38" s="1001"/>
      <c r="PFQ38" s="1001"/>
      <c r="PFR38" s="1001"/>
      <c r="PFS38" s="1001"/>
      <c r="PFT38" s="1001"/>
      <c r="PFU38" s="1001"/>
      <c r="PFV38" s="1001"/>
      <c r="PFW38" s="1001"/>
      <c r="PFX38" s="1001"/>
      <c r="PFY38" s="1001"/>
      <c r="PFZ38" s="1001"/>
      <c r="PGA38" s="1001"/>
      <c r="PGB38" s="1001"/>
      <c r="PGC38" s="1001"/>
      <c r="PGD38" s="1001"/>
      <c r="PGE38" s="1001"/>
      <c r="PGF38" s="1001"/>
      <c r="PGG38" s="1001"/>
      <c r="PGH38" s="1001"/>
      <c r="PGI38" s="1001"/>
      <c r="PGJ38" s="1001"/>
      <c r="PGK38" s="1001"/>
      <c r="PGL38" s="1001"/>
      <c r="PGM38" s="1001"/>
      <c r="PGN38" s="1001"/>
      <c r="PGO38" s="1001"/>
      <c r="PGP38" s="1001"/>
      <c r="PGQ38" s="1001"/>
      <c r="PGR38" s="1001"/>
      <c r="PGS38" s="1001"/>
      <c r="PGT38" s="1001"/>
      <c r="PGU38" s="1001"/>
      <c r="PGV38" s="1001"/>
      <c r="PGW38" s="1001"/>
      <c r="PGX38" s="1001"/>
      <c r="PGY38" s="1001"/>
      <c r="PGZ38" s="1001"/>
      <c r="PHA38" s="1001"/>
      <c r="PHB38" s="1001"/>
      <c r="PHC38" s="1001"/>
      <c r="PHD38" s="1001"/>
      <c r="PHE38" s="1001"/>
      <c r="PHF38" s="1001"/>
      <c r="PHG38" s="1001"/>
      <c r="PHH38" s="1001"/>
      <c r="PHI38" s="1001"/>
      <c r="PHJ38" s="1001"/>
      <c r="PHK38" s="1001"/>
      <c r="PHL38" s="1001"/>
      <c r="PHM38" s="1001"/>
      <c r="PHN38" s="1001"/>
      <c r="PHO38" s="1001"/>
      <c r="PHP38" s="1001"/>
      <c r="PHQ38" s="1001"/>
      <c r="PHR38" s="1001"/>
      <c r="PHS38" s="1001"/>
      <c r="PHT38" s="1001"/>
      <c r="PHU38" s="1001"/>
      <c r="PHV38" s="1001"/>
      <c r="PHW38" s="1001"/>
      <c r="PHX38" s="1001"/>
      <c r="PHY38" s="1001"/>
      <c r="PHZ38" s="1001"/>
      <c r="PIA38" s="1001"/>
      <c r="PIB38" s="1001"/>
      <c r="PIC38" s="1001"/>
      <c r="PID38" s="1001"/>
      <c r="PIE38" s="1001"/>
      <c r="PIF38" s="1001"/>
      <c r="PIG38" s="1001"/>
      <c r="PIH38" s="1001"/>
      <c r="PII38" s="1001"/>
      <c r="PIJ38" s="1001"/>
      <c r="PIK38" s="1001"/>
      <c r="PIL38" s="1001"/>
      <c r="PIM38" s="1001"/>
      <c r="PIN38" s="1001"/>
      <c r="PIO38" s="1001"/>
      <c r="PIP38" s="1001"/>
      <c r="PIQ38" s="1001"/>
      <c r="PIR38" s="1001"/>
      <c r="PIS38" s="1001"/>
      <c r="PIT38" s="1001"/>
      <c r="PIU38" s="1001"/>
      <c r="PIV38" s="1001"/>
      <c r="PIW38" s="1001"/>
      <c r="PIX38" s="1001"/>
      <c r="PIY38" s="1001"/>
      <c r="PIZ38" s="1001"/>
      <c r="PJA38" s="1001"/>
      <c r="PJB38" s="1001"/>
      <c r="PJC38" s="1001"/>
      <c r="PJD38" s="1001"/>
      <c r="PJE38" s="1001"/>
      <c r="PJF38" s="1001"/>
      <c r="PJG38" s="1001"/>
      <c r="PJH38" s="1001"/>
      <c r="PJI38" s="1001"/>
      <c r="PJJ38" s="1001"/>
      <c r="PJK38" s="1001"/>
      <c r="PJL38" s="1001"/>
      <c r="PJM38" s="1001"/>
      <c r="PJN38" s="1001"/>
      <c r="PJO38" s="1001"/>
      <c r="PJP38" s="1001"/>
      <c r="PJQ38" s="1001"/>
      <c r="PJR38" s="1001"/>
      <c r="PJS38" s="1001"/>
      <c r="PJT38" s="1001"/>
      <c r="PJU38" s="1001"/>
      <c r="PJV38" s="1001"/>
      <c r="PJW38" s="1001"/>
      <c r="PJX38" s="1001"/>
      <c r="PJY38" s="1001"/>
      <c r="PJZ38" s="1001"/>
      <c r="PKA38" s="1001"/>
      <c r="PKB38" s="1001"/>
      <c r="PKC38" s="1001"/>
      <c r="PKD38" s="1001"/>
      <c r="PKE38" s="1001"/>
      <c r="PKF38" s="1001"/>
      <c r="PKG38" s="1001"/>
      <c r="PKH38" s="1001"/>
      <c r="PKI38" s="1001"/>
      <c r="PKJ38" s="1001"/>
      <c r="PKK38" s="1001"/>
      <c r="PKL38" s="1001"/>
      <c r="PKM38" s="1001"/>
      <c r="PKN38" s="1001"/>
      <c r="PKO38" s="1001"/>
      <c r="PKP38" s="1001"/>
      <c r="PKQ38" s="1001"/>
      <c r="PKR38" s="1001"/>
      <c r="PKS38" s="1001"/>
      <c r="PKT38" s="1001"/>
      <c r="PKU38" s="1001"/>
      <c r="PKV38" s="1001"/>
      <c r="PKW38" s="1001"/>
      <c r="PKX38" s="1001"/>
      <c r="PKY38" s="1001"/>
      <c r="PKZ38" s="1001"/>
      <c r="PLA38" s="1001"/>
      <c r="PLB38" s="1001"/>
      <c r="PLC38" s="1001"/>
      <c r="PLD38" s="1001"/>
      <c r="PLE38" s="1001"/>
      <c r="PLF38" s="1001"/>
      <c r="PLG38" s="1001"/>
      <c r="PLH38" s="1001"/>
      <c r="PLI38" s="1001"/>
      <c r="PLJ38" s="1001"/>
      <c r="PLK38" s="1001"/>
      <c r="PLL38" s="1001"/>
      <c r="PLM38" s="1001"/>
      <c r="PLN38" s="1001"/>
      <c r="PLO38" s="1001"/>
      <c r="PLP38" s="1001"/>
      <c r="PLQ38" s="1001"/>
      <c r="PLR38" s="1001"/>
      <c r="PLS38" s="1001"/>
      <c r="PLT38" s="1001"/>
      <c r="PLU38" s="1001"/>
      <c r="PLV38" s="1001"/>
      <c r="PLW38" s="1001"/>
      <c r="PLX38" s="1001"/>
      <c r="PLY38" s="1001"/>
      <c r="PLZ38" s="1001"/>
      <c r="PMA38" s="1001"/>
      <c r="PMB38" s="1001"/>
      <c r="PMC38" s="1001"/>
      <c r="PMD38" s="1001"/>
      <c r="PME38" s="1001"/>
      <c r="PMF38" s="1001"/>
      <c r="PMG38" s="1001"/>
      <c r="PMH38" s="1001"/>
      <c r="PMI38" s="1001"/>
      <c r="PMJ38" s="1001"/>
      <c r="PMK38" s="1001"/>
      <c r="PML38" s="1001"/>
      <c r="PMM38" s="1001"/>
      <c r="PMN38" s="1001"/>
      <c r="PMO38" s="1001"/>
      <c r="PMP38" s="1001"/>
      <c r="PMQ38" s="1001"/>
      <c r="PMR38" s="1001"/>
      <c r="PMS38" s="1001"/>
      <c r="PMT38" s="1001"/>
      <c r="PMU38" s="1001"/>
      <c r="PMV38" s="1001"/>
      <c r="PMW38" s="1001"/>
      <c r="PMX38" s="1001"/>
      <c r="PMY38" s="1001"/>
      <c r="PMZ38" s="1001"/>
      <c r="PNA38" s="1001"/>
      <c r="PNB38" s="1001"/>
      <c r="PNC38" s="1001"/>
      <c r="PND38" s="1001"/>
      <c r="PNE38" s="1001"/>
      <c r="PNF38" s="1001"/>
      <c r="PNG38" s="1001"/>
      <c r="PNH38" s="1001"/>
      <c r="PNI38" s="1001"/>
      <c r="PNJ38" s="1001"/>
      <c r="PNK38" s="1001"/>
      <c r="PNL38" s="1001"/>
      <c r="PNM38" s="1001"/>
      <c r="PNN38" s="1001"/>
      <c r="PNO38" s="1001"/>
      <c r="PNP38" s="1001"/>
      <c r="PNQ38" s="1001"/>
      <c r="PNR38" s="1001"/>
      <c r="PNS38" s="1001"/>
      <c r="PNT38" s="1001"/>
      <c r="PNU38" s="1001"/>
      <c r="PNV38" s="1001"/>
      <c r="PNW38" s="1001"/>
      <c r="PNX38" s="1001"/>
      <c r="PNY38" s="1001"/>
      <c r="PNZ38" s="1001"/>
      <c r="POA38" s="1001"/>
      <c r="POB38" s="1001"/>
      <c r="POC38" s="1001"/>
      <c r="POD38" s="1001"/>
      <c r="POE38" s="1001"/>
      <c r="POF38" s="1001"/>
      <c r="POG38" s="1001"/>
      <c r="POH38" s="1001"/>
      <c r="POI38" s="1001"/>
      <c r="POJ38" s="1001"/>
      <c r="POK38" s="1001"/>
      <c r="POL38" s="1001"/>
      <c r="POM38" s="1001"/>
      <c r="PON38" s="1001"/>
      <c r="POO38" s="1001"/>
      <c r="POP38" s="1001"/>
      <c r="POQ38" s="1001"/>
      <c r="POR38" s="1001"/>
      <c r="POS38" s="1001"/>
      <c r="POT38" s="1001"/>
      <c r="POU38" s="1001"/>
      <c r="POV38" s="1001"/>
      <c r="POW38" s="1001"/>
      <c r="POX38" s="1001"/>
      <c r="POY38" s="1001"/>
      <c r="POZ38" s="1001"/>
      <c r="PPA38" s="1001"/>
      <c r="PPB38" s="1001"/>
      <c r="PPC38" s="1001"/>
      <c r="PPD38" s="1001"/>
      <c r="PPE38" s="1001"/>
      <c r="PPF38" s="1001"/>
      <c r="PPG38" s="1001"/>
      <c r="PPH38" s="1001"/>
      <c r="PPI38" s="1001"/>
      <c r="PPJ38" s="1001"/>
      <c r="PPK38" s="1001"/>
      <c r="PPL38" s="1001"/>
      <c r="PPM38" s="1001"/>
      <c r="PPN38" s="1001"/>
      <c r="PPO38" s="1001"/>
      <c r="PPP38" s="1001"/>
      <c r="PPQ38" s="1001"/>
      <c r="PPR38" s="1001"/>
      <c r="PPS38" s="1001"/>
      <c r="PPT38" s="1001"/>
      <c r="PPU38" s="1001"/>
      <c r="PPV38" s="1001"/>
      <c r="PPW38" s="1001"/>
      <c r="PPX38" s="1001"/>
      <c r="PPY38" s="1001"/>
      <c r="PPZ38" s="1001"/>
      <c r="PQA38" s="1001"/>
      <c r="PQB38" s="1001"/>
      <c r="PQC38" s="1001"/>
      <c r="PQD38" s="1001"/>
      <c r="PQE38" s="1001"/>
      <c r="PQF38" s="1001"/>
      <c r="PQG38" s="1001"/>
      <c r="PQH38" s="1001"/>
      <c r="PQI38" s="1001"/>
      <c r="PQJ38" s="1001"/>
      <c r="PQK38" s="1001"/>
      <c r="PQL38" s="1001"/>
      <c r="PQM38" s="1001"/>
      <c r="PQN38" s="1001"/>
      <c r="PQO38" s="1001"/>
      <c r="PQP38" s="1001"/>
      <c r="PQQ38" s="1001"/>
      <c r="PQR38" s="1001"/>
      <c r="PQS38" s="1001"/>
      <c r="PQT38" s="1001"/>
      <c r="PQU38" s="1001"/>
      <c r="PQV38" s="1001"/>
      <c r="PQW38" s="1001"/>
      <c r="PQX38" s="1001"/>
      <c r="PQY38" s="1001"/>
      <c r="PQZ38" s="1001"/>
      <c r="PRA38" s="1001"/>
      <c r="PRB38" s="1001"/>
      <c r="PRC38" s="1001"/>
      <c r="PRD38" s="1001"/>
      <c r="PRE38" s="1001"/>
      <c r="PRF38" s="1001"/>
      <c r="PRG38" s="1001"/>
      <c r="PRH38" s="1001"/>
      <c r="PRI38" s="1001"/>
      <c r="PRJ38" s="1001"/>
      <c r="PRK38" s="1001"/>
      <c r="PRL38" s="1001"/>
      <c r="PRM38" s="1001"/>
      <c r="PRN38" s="1001"/>
      <c r="PRO38" s="1001"/>
      <c r="PRP38" s="1001"/>
      <c r="PRQ38" s="1001"/>
      <c r="PRR38" s="1001"/>
      <c r="PRS38" s="1001"/>
      <c r="PRT38" s="1001"/>
      <c r="PRU38" s="1001"/>
      <c r="PRV38" s="1001"/>
      <c r="PRW38" s="1001"/>
      <c r="PRX38" s="1001"/>
      <c r="PRY38" s="1001"/>
      <c r="PRZ38" s="1001"/>
      <c r="PSA38" s="1001"/>
      <c r="PSB38" s="1001"/>
      <c r="PSC38" s="1001"/>
      <c r="PSD38" s="1001"/>
      <c r="PSE38" s="1001"/>
      <c r="PSF38" s="1001"/>
      <c r="PSG38" s="1001"/>
      <c r="PSH38" s="1001"/>
      <c r="PSI38" s="1001"/>
      <c r="PSJ38" s="1001"/>
      <c r="PSK38" s="1001"/>
      <c r="PSL38" s="1001"/>
      <c r="PSM38" s="1001"/>
      <c r="PSN38" s="1001"/>
      <c r="PSO38" s="1001"/>
      <c r="PSP38" s="1001"/>
      <c r="PSQ38" s="1001"/>
      <c r="PSR38" s="1001"/>
      <c r="PSS38" s="1001"/>
      <c r="PST38" s="1001"/>
      <c r="PSU38" s="1001"/>
      <c r="PSV38" s="1001"/>
      <c r="PSW38" s="1001"/>
      <c r="PSX38" s="1001"/>
      <c r="PSY38" s="1001"/>
      <c r="PSZ38" s="1001"/>
      <c r="PTA38" s="1001"/>
      <c r="PTB38" s="1001"/>
      <c r="PTC38" s="1001"/>
      <c r="PTD38" s="1001"/>
      <c r="PTE38" s="1001"/>
      <c r="PTF38" s="1001"/>
      <c r="PTG38" s="1001"/>
      <c r="PTH38" s="1001"/>
      <c r="PTI38" s="1001"/>
      <c r="PTJ38" s="1001"/>
      <c r="PTK38" s="1001"/>
      <c r="PTL38" s="1001"/>
      <c r="PTM38" s="1001"/>
      <c r="PTN38" s="1001"/>
      <c r="PTO38" s="1001"/>
      <c r="PTP38" s="1001"/>
      <c r="PTQ38" s="1001"/>
      <c r="PTR38" s="1001"/>
      <c r="PTS38" s="1001"/>
      <c r="PTT38" s="1001"/>
      <c r="PTU38" s="1001"/>
      <c r="PTV38" s="1001"/>
      <c r="PTW38" s="1001"/>
      <c r="PTX38" s="1001"/>
      <c r="PTY38" s="1001"/>
      <c r="PTZ38" s="1001"/>
      <c r="PUA38" s="1001"/>
      <c r="PUB38" s="1001"/>
      <c r="PUC38" s="1001"/>
      <c r="PUD38" s="1001"/>
      <c r="PUE38" s="1001"/>
      <c r="PUF38" s="1001"/>
      <c r="PUG38" s="1001"/>
      <c r="PUH38" s="1001"/>
      <c r="PUI38" s="1001"/>
      <c r="PUJ38" s="1001"/>
      <c r="PUK38" s="1001"/>
      <c r="PUL38" s="1001"/>
      <c r="PUM38" s="1001"/>
      <c r="PUN38" s="1001"/>
      <c r="PUO38" s="1001"/>
      <c r="PUP38" s="1001"/>
      <c r="PUQ38" s="1001"/>
      <c r="PUR38" s="1001"/>
      <c r="PUS38" s="1001"/>
      <c r="PUT38" s="1001"/>
      <c r="PUU38" s="1001"/>
      <c r="PUV38" s="1001"/>
      <c r="PUW38" s="1001"/>
      <c r="PUX38" s="1001"/>
      <c r="PUY38" s="1001"/>
      <c r="PUZ38" s="1001"/>
      <c r="PVA38" s="1001"/>
      <c r="PVB38" s="1001"/>
      <c r="PVC38" s="1001"/>
      <c r="PVD38" s="1001"/>
      <c r="PVE38" s="1001"/>
      <c r="PVF38" s="1001"/>
      <c r="PVG38" s="1001"/>
      <c r="PVH38" s="1001"/>
      <c r="PVI38" s="1001"/>
      <c r="PVJ38" s="1001"/>
      <c r="PVK38" s="1001"/>
      <c r="PVL38" s="1001"/>
      <c r="PVM38" s="1001"/>
      <c r="PVN38" s="1001"/>
      <c r="PVO38" s="1001"/>
      <c r="PVP38" s="1001"/>
      <c r="PVQ38" s="1001"/>
      <c r="PVR38" s="1001"/>
      <c r="PVS38" s="1001"/>
      <c r="PVT38" s="1001"/>
      <c r="PVU38" s="1001"/>
      <c r="PVV38" s="1001"/>
      <c r="PVW38" s="1001"/>
      <c r="PVX38" s="1001"/>
      <c r="PVY38" s="1001"/>
      <c r="PVZ38" s="1001"/>
      <c r="PWA38" s="1001"/>
      <c r="PWB38" s="1001"/>
      <c r="PWC38" s="1001"/>
      <c r="PWD38" s="1001"/>
      <c r="PWE38" s="1001"/>
      <c r="PWF38" s="1001"/>
      <c r="PWG38" s="1001"/>
      <c r="PWH38" s="1001"/>
      <c r="PWI38" s="1001"/>
      <c r="PWJ38" s="1001"/>
      <c r="PWK38" s="1001"/>
      <c r="PWL38" s="1001"/>
      <c r="PWM38" s="1001"/>
      <c r="PWN38" s="1001"/>
      <c r="PWO38" s="1001"/>
      <c r="PWP38" s="1001"/>
      <c r="PWQ38" s="1001"/>
      <c r="PWR38" s="1001"/>
      <c r="PWS38" s="1001"/>
      <c r="PWT38" s="1001"/>
      <c r="PWU38" s="1001"/>
      <c r="PWV38" s="1001"/>
      <c r="PWW38" s="1001"/>
      <c r="PWX38" s="1001"/>
      <c r="PWY38" s="1001"/>
      <c r="PWZ38" s="1001"/>
      <c r="PXA38" s="1001"/>
      <c r="PXB38" s="1001"/>
      <c r="PXC38" s="1001"/>
      <c r="PXD38" s="1001"/>
      <c r="PXE38" s="1001"/>
      <c r="PXF38" s="1001"/>
      <c r="PXG38" s="1001"/>
      <c r="PXH38" s="1001"/>
      <c r="PXI38" s="1001"/>
      <c r="PXJ38" s="1001"/>
      <c r="PXK38" s="1001"/>
      <c r="PXL38" s="1001"/>
      <c r="PXM38" s="1001"/>
      <c r="PXN38" s="1001"/>
      <c r="PXO38" s="1001"/>
      <c r="PXP38" s="1001"/>
      <c r="PXQ38" s="1001"/>
      <c r="PXR38" s="1001"/>
      <c r="PXS38" s="1001"/>
      <c r="PXT38" s="1001"/>
      <c r="PXU38" s="1001"/>
      <c r="PXV38" s="1001"/>
      <c r="PXW38" s="1001"/>
      <c r="PXX38" s="1001"/>
      <c r="PXY38" s="1001"/>
      <c r="PXZ38" s="1001"/>
      <c r="PYA38" s="1001"/>
      <c r="PYB38" s="1001"/>
      <c r="PYC38" s="1001"/>
      <c r="PYD38" s="1001"/>
      <c r="PYE38" s="1001"/>
      <c r="PYF38" s="1001"/>
      <c r="PYG38" s="1001"/>
      <c r="PYH38" s="1001"/>
      <c r="PYI38" s="1001"/>
      <c r="PYJ38" s="1001"/>
      <c r="PYK38" s="1001"/>
      <c r="PYL38" s="1001"/>
      <c r="PYM38" s="1001"/>
      <c r="PYN38" s="1001"/>
      <c r="PYO38" s="1001"/>
      <c r="PYP38" s="1001"/>
      <c r="PYQ38" s="1001"/>
      <c r="PYR38" s="1001"/>
      <c r="PYS38" s="1001"/>
      <c r="PYT38" s="1001"/>
      <c r="PYU38" s="1001"/>
      <c r="PYV38" s="1001"/>
      <c r="PYW38" s="1001"/>
      <c r="PYX38" s="1001"/>
      <c r="PYY38" s="1001"/>
      <c r="PYZ38" s="1001"/>
      <c r="PZA38" s="1001"/>
      <c r="PZB38" s="1001"/>
      <c r="PZC38" s="1001"/>
      <c r="PZD38" s="1001"/>
      <c r="PZE38" s="1001"/>
      <c r="PZF38" s="1001"/>
      <c r="PZG38" s="1001"/>
      <c r="PZH38" s="1001"/>
      <c r="PZI38" s="1001"/>
      <c r="PZJ38" s="1001"/>
      <c r="PZK38" s="1001"/>
      <c r="PZL38" s="1001"/>
      <c r="PZM38" s="1001"/>
      <c r="PZN38" s="1001"/>
      <c r="PZO38" s="1001"/>
      <c r="PZP38" s="1001"/>
      <c r="PZQ38" s="1001"/>
      <c r="PZR38" s="1001"/>
      <c r="PZS38" s="1001"/>
      <c r="PZT38" s="1001"/>
      <c r="PZU38" s="1001"/>
      <c r="PZV38" s="1001"/>
      <c r="PZW38" s="1001"/>
      <c r="PZX38" s="1001"/>
      <c r="PZY38" s="1001"/>
      <c r="PZZ38" s="1001"/>
      <c r="QAA38" s="1001"/>
      <c r="QAB38" s="1001"/>
      <c r="QAC38" s="1001"/>
      <c r="QAD38" s="1001"/>
      <c r="QAE38" s="1001"/>
      <c r="QAF38" s="1001"/>
      <c r="QAG38" s="1001"/>
      <c r="QAH38" s="1001"/>
      <c r="QAI38" s="1001"/>
      <c r="QAJ38" s="1001"/>
      <c r="QAK38" s="1001"/>
      <c r="QAL38" s="1001"/>
      <c r="QAM38" s="1001"/>
      <c r="QAN38" s="1001"/>
      <c r="QAO38" s="1001"/>
      <c r="QAP38" s="1001"/>
      <c r="QAQ38" s="1001"/>
      <c r="QAR38" s="1001"/>
      <c r="QAS38" s="1001"/>
      <c r="QAT38" s="1001"/>
      <c r="QAU38" s="1001"/>
      <c r="QAV38" s="1001"/>
      <c r="QAW38" s="1001"/>
      <c r="QAX38" s="1001"/>
      <c r="QAY38" s="1001"/>
      <c r="QAZ38" s="1001"/>
      <c r="QBA38" s="1001"/>
      <c r="QBB38" s="1001"/>
      <c r="QBC38" s="1001"/>
      <c r="QBD38" s="1001"/>
      <c r="QBE38" s="1001"/>
      <c r="QBF38" s="1001"/>
      <c r="QBG38" s="1001"/>
      <c r="QBH38" s="1001"/>
      <c r="QBI38" s="1001"/>
      <c r="QBJ38" s="1001"/>
      <c r="QBK38" s="1001"/>
      <c r="QBL38" s="1001"/>
      <c r="QBM38" s="1001"/>
      <c r="QBN38" s="1001"/>
      <c r="QBO38" s="1001"/>
      <c r="QBP38" s="1001"/>
      <c r="QBQ38" s="1001"/>
      <c r="QBR38" s="1001"/>
      <c r="QBS38" s="1001"/>
      <c r="QBT38" s="1001"/>
      <c r="QBU38" s="1001"/>
      <c r="QBV38" s="1001"/>
      <c r="QBW38" s="1001"/>
      <c r="QBX38" s="1001"/>
      <c r="QBY38" s="1001"/>
      <c r="QBZ38" s="1001"/>
      <c r="QCA38" s="1001"/>
      <c r="QCB38" s="1001"/>
      <c r="QCC38" s="1001"/>
      <c r="QCD38" s="1001"/>
      <c r="QCE38" s="1001"/>
      <c r="QCF38" s="1001"/>
      <c r="QCG38" s="1001"/>
      <c r="QCH38" s="1001"/>
      <c r="QCI38" s="1001"/>
      <c r="QCJ38" s="1001"/>
      <c r="QCK38" s="1001"/>
      <c r="QCL38" s="1001"/>
      <c r="QCM38" s="1001"/>
      <c r="QCN38" s="1001"/>
      <c r="QCO38" s="1001"/>
      <c r="QCP38" s="1001"/>
      <c r="QCQ38" s="1001"/>
      <c r="QCR38" s="1001"/>
      <c r="QCS38" s="1001"/>
      <c r="QCT38" s="1001"/>
      <c r="QCU38" s="1001"/>
      <c r="QCV38" s="1001"/>
      <c r="QCW38" s="1001"/>
      <c r="QCX38" s="1001"/>
      <c r="QCY38" s="1001"/>
      <c r="QCZ38" s="1001"/>
      <c r="QDA38" s="1001"/>
      <c r="QDB38" s="1001"/>
      <c r="QDC38" s="1001"/>
      <c r="QDD38" s="1001"/>
      <c r="QDE38" s="1001"/>
      <c r="QDF38" s="1001"/>
      <c r="QDG38" s="1001"/>
      <c r="QDH38" s="1001"/>
      <c r="QDI38" s="1001"/>
      <c r="QDJ38" s="1001"/>
      <c r="QDK38" s="1001"/>
      <c r="QDL38" s="1001"/>
      <c r="QDM38" s="1001"/>
      <c r="QDN38" s="1001"/>
      <c r="QDO38" s="1001"/>
      <c r="QDP38" s="1001"/>
      <c r="QDQ38" s="1001"/>
      <c r="QDR38" s="1001"/>
      <c r="QDS38" s="1001"/>
      <c r="QDT38" s="1001"/>
      <c r="QDU38" s="1001"/>
      <c r="QDV38" s="1001"/>
      <c r="QDW38" s="1001"/>
      <c r="QDX38" s="1001"/>
      <c r="QDY38" s="1001"/>
      <c r="QDZ38" s="1001"/>
      <c r="QEA38" s="1001"/>
      <c r="QEB38" s="1001"/>
      <c r="QEC38" s="1001"/>
      <c r="QED38" s="1001"/>
      <c r="QEE38" s="1001"/>
      <c r="QEF38" s="1001"/>
      <c r="QEG38" s="1001"/>
      <c r="QEH38" s="1001"/>
      <c r="QEI38" s="1001"/>
      <c r="QEJ38" s="1001"/>
      <c r="QEK38" s="1001"/>
      <c r="QEL38" s="1001"/>
      <c r="QEM38" s="1001"/>
      <c r="QEN38" s="1001"/>
      <c r="QEO38" s="1001"/>
      <c r="QEP38" s="1001"/>
      <c r="QEQ38" s="1001"/>
      <c r="QER38" s="1001"/>
      <c r="QES38" s="1001"/>
      <c r="QET38" s="1001"/>
      <c r="QEU38" s="1001"/>
      <c r="QEV38" s="1001"/>
      <c r="QEW38" s="1001"/>
      <c r="QEX38" s="1001"/>
      <c r="QEY38" s="1001"/>
      <c r="QEZ38" s="1001"/>
      <c r="QFA38" s="1001"/>
      <c r="QFB38" s="1001"/>
      <c r="QFC38" s="1001"/>
      <c r="QFD38" s="1001"/>
      <c r="QFE38" s="1001"/>
      <c r="QFF38" s="1001"/>
      <c r="QFG38" s="1001"/>
      <c r="QFH38" s="1001"/>
      <c r="QFI38" s="1001"/>
      <c r="QFJ38" s="1001"/>
      <c r="QFK38" s="1001"/>
      <c r="QFL38" s="1001"/>
      <c r="QFM38" s="1001"/>
      <c r="QFN38" s="1001"/>
      <c r="QFO38" s="1001"/>
      <c r="QFP38" s="1001"/>
      <c r="QFQ38" s="1001"/>
      <c r="QFR38" s="1001"/>
      <c r="QFS38" s="1001"/>
      <c r="QFT38" s="1001"/>
      <c r="QFU38" s="1001"/>
      <c r="QFV38" s="1001"/>
      <c r="QFW38" s="1001"/>
      <c r="QFX38" s="1001"/>
      <c r="QFY38" s="1001"/>
      <c r="QFZ38" s="1001"/>
      <c r="QGA38" s="1001"/>
      <c r="QGB38" s="1001"/>
      <c r="QGC38" s="1001"/>
      <c r="QGD38" s="1001"/>
      <c r="QGE38" s="1001"/>
      <c r="QGF38" s="1001"/>
      <c r="QGG38" s="1001"/>
      <c r="QGH38" s="1001"/>
      <c r="QGI38" s="1001"/>
      <c r="QGJ38" s="1001"/>
      <c r="QGK38" s="1001"/>
      <c r="QGL38" s="1001"/>
      <c r="QGM38" s="1001"/>
      <c r="QGN38" s="1001"/>
      <c r="QGO38" s="1001"/>
      <c r="QGP38" s="1001"/>
      <c r="QGQ38" s="1001"/>
      <c r="QGR38" s="1001"/>
      <c r="QGS38" s="1001"/>
      <c r="QGT38" s="1001"/>
      <c r="QGU38" s="1001"/>
      <c r="QGV38" s="1001"/>
      <c r="QGW38" s="1001"/>
      <c r="QGX38" s="1001"/>
      <c r="QGY38" s="1001"/>
      <c r="QGZ38" s="1001"/>
      <c r="QHA38" s="1001"/>
      <c r="QHB38" s="1001"/>
      <c r="QHC38" s="1001"/>
      <c r="QHD38" s="1001"/>
      <c r="QHE38" s="1001"/>
      <c r="QHF38" s="1001"/>
      <c r="QHG38" s="1001"/>
      <c r="QHH38" s="1001"/>
      <c r="QHI38" s="1001"/>
      <c r="QHJ38" s="1001"/>
      <c r="QHK38" s="1001"/>
      <c r="QHL38" s="1001"/>
      <c r="QHM38" s="1001"/>
      <c r="QHN38" s="1001"/>
      <c r="QHO38" s="1001"/>
      <c r="QHP38" s="1001"/>
      <c r="QHQ38" s="1001"/>
      <c r="QHR38" s="1001"/>
      <c r="QHS38" s="1001"/>
      <c r="QHT38" s="1001"/>
      <c r="QHU38" s="1001"/>
      <c r="QHV38" s="1001"/>
      <c r="QHW38" s="1001"/>
      <c r="QHX38" s="1001"/>
      <c r="QHY38" s="1001"/>
      <c r="QHZ38" s="1001"/>
      <c r="QIA38" s="1001"/>
      <c r="QIB38" s="1001"/>
      <c r="QIC38" s="1001"/>
      <c r="QID38" s="1001"/>
      <c r="QIE38" s="1001"/>
      <c r="QIF38" s="1001"/>
      <c r="QIG38" s="1001"/>
      <c r="QIH38" s="1001"/>
      <c r="QII38" s="1001"/>
      <c r="QIJ38" s="1001"/>
      <c r="QIK38" s="1001"/>
      <c r="QIL38" s="1001"/>
      <c r="QIM38" s="1001"/>
      <c r="QIN38" s="1001"/>
      <c r="QIO38" s="1001"/>
      <c r="QIP38" s="1001"/>
      <c r="QIQ38" s="1001"/>
      <c r="QIR38" s="1001"/>
      <c r="QIS38" s="1001"/>
      <c r="QIT38" s="1001"/>
      <c r="QIU38" s="1001"/>
      <c r="QIV38" s="1001"/>
      <c r="QIW38" s="1001"/>
      <c r="QIX38" s="1001"/>
      <c r="QIY38" s="1001"/>
      <c r="QIZ38" s="1001"/>
      <c r="QJA38" s="1001"/>
      <c r="QJB38" s="1001"/>
      <c r="QJC38" s="1001"/>
      <c r="QJD38" s="1001"/>
      <c r="QJE38" s="1001"/>
      <c r="QJF38" s="1001"/>
      <c r="QJG38" s="1001"/>
      <c r="QJH38" s="1001"/>
      <c r="QJI38" s="1001"/>
      <c r="QJJ38" s="1001"/>
      <c r="QJK38" s="1001"/>
      <c r="QJL38" s="1001"/>
      <c r="QJM38" s="1001"/>
      <c r="QJN38" s="1001"/>
      <c r="QJO38" s="1001"/>
      <c r="QJP38" s="1001"/>
      <c r="QJQ38" s="1001"/>
      <c r="QJR38" s="1001"/>
      <c r="QJS38" s="1001"/>
      <c r="QJT38" s="1001"/>
      <c r="QJU38" s="1001"/>
      <c r="QJV38" s="1001"/>
      <c r="QJW38" s="1001"/>
      <c r="QJX38" s="1001"/>
      <c r="QJY38" s="1001"/>
      <c r="QJZ38" s="1001"/>
      <c r="QKA38" s="1001"/>
      <c r="QKB38" s="1001"/>
      <c r="QKC38" s="1001"/>
      <c r="QKD38" s="1001"/>
      <c r="QKE38" s="1001"/>
      <c r="QKF38" s="1001"/>
      <c r="QKG38" s="1001"/>
      <c r="QKH38" s="1001"/>
      <c r="QKI38" s="1001"/>
      <c r="QKJ38" s="1001"/>
      <c r="QKK38" s="1001"/>
      <c r="QKL38" s="1001"/>
      <c r="QKM38" s="1001"/>
      <c r="QKN38" s="1001"/>
      <c r="QKO38" s="1001"/>
      <c r="QKP38" s="1001"/>
      <c r="QKQ38" s="1001"/>
      <c r="QKR38" s="1001"/>
      <c r="QKS38" s="1001"/>
      <c r="QKT38" s="1001"/>
      <c r="QKU38" s="1001"/>
      <c r="QKV38" s="1001"/>
      <c r="QKW38" s="1001"/>
      <c r="QKX38" s="1001"/>
      <c r="QKY38" s="1001"/>
      <c r="QKZ38" s="1001"/>
      <c r="QLA38" s="1001"/>
      <c r="QLB38" s="1001"/>
      <c r="QLC38" s="1001"/>
      <c r="QLD38" s="1001"/>
      <c r="QLE38" s="1001"/>
      <c r="QLF38" s="1001"/>
      <c r="QLG38" s="1001"/>
      <c r="QLH38" s="1001"/>
      <c r="QLI38" s="1001"/>
      <c r="QLJ38" s="1001"/>
      <c r="QLK38" s="1001"/>
      <c r="QLL38" s="1001"/>
      <c r="QLM38" s="1001"/>
      <c r="QLN38" s="1001"/>
      <c r="QLO38" s="1001"/>
      <c r="QLP38" s="1001"/>
      <c r="QLQ38" s="1001"/>
      <c r="QLR38" s="1001"/>
      <c r="QLS38" s="1001"/>
      <c r="QLT38" s="1001"/>
      <c r="QLU38" s="1001"/>
      <c r="QLV38" s="1001"/>
      <c r="QLW38" s="1001"/>
      <c r="QLX38" s="1001"/>
      <c r="QLY38" s="1001"/>
      <c r="QLZ38" s="1001"/>
      <c r="QMA38" s="1001"/>
      <c r="QMB38" s="1001"/>
      <c r="QMC38" s="1001"/>
      <c r="QMD38" s="1001"/>
      <c r="QME38" s="1001"/>
      <c r="QMF38" s="1001"/>
      <c r="QMG38" s="1001"/>
      <c r="QMH38" s="1001"/>
      <c r="QMI38" s="1001"/>
      <c r="QMJ38" s="1001"/>
      <c r="QMK38" s="1001"/>
      <c r="QML38" s="1001"/>
      <c r="QMM38" s="1001"/>
      <c r="QMN38" s="1001"/>
      <c r="QMO38" s="1001"/>
      <c r="QMP38" s="1001"/>
      <c r="QMQ38" s="1001"/>
      <c r="QMR38" s="1001"/>
      <c r="QMS38" s="1001"/>
      <c r="QMT38" s="1001"/>
      <c r="QMU38" s="1001"/>
      <c r="QMV38" s="1001"/>
      <c r="QMW38" s="1001"/>
      <c r="QMX38" s="1001"/>
      <c r="QMY38" s="1001"/>
      <c r="QMZ38" s="1001"/>
      <c r="QNA38" s="1001"/>
      <c r="QNB38" s="1001"/>
      <c r="QNC38" s="1001"/>
      <c r="QND38" s="1001"/>
      <c r="QNE38" s="1001"/>
      <c r="QNF38" s="1001"/>
      <c r="QNG38" s="1001"/>
      <c r="QNH38" s="1001"/>
      <c r="QNI38" s="1001"/>
      <c r="QNJ38" s="1001"/>
      <c r="QNK38" s="1001"/>
      <c r="QNL38" s="1001"/>
      <c r="QNM38" s="1001"/>
      <c r="QNN38" s="1001"/>
      <c r="QNO38" s="1001"/>
      <c r="QNP38" s="1001"/>
      <c r="QNQ38" s="1001"/>
      <c r="QNR38" s="1001"/>
      <c r="QNS38" s="1001"/>
      <c r="QNT38" s="1001"/>
      <c r="QNU38" s="1001"/>
      <c r="QNV38" s="1001"/>
      <c r="QNW38" s="1001"/>
      <c r="QNX38" s="1001"/>
      <c r="QNY38" s="1001"/>
      <c r="QNZ38" s="1001"/>
      <c r="QOA38" s="1001"/>
      <c r="QOB38" s="1001"/>
      <c r="QOC38" s="1001"/>
      <c r="QOD38" s="1001"/>
      <c r="QOE38" s="1001"/>
      <c r="QOF38" s="1001"/>
      <c r="QOG38" s="1001"/>
      <c r="QOH38" s="1001"/>
      <c r="QOI38" s="1001"/>
      <c r="QOJ38" s="1001"/>
      <c r="QOK38" s="1001"/>
      <c r="QOL38" s="1001"/>
      <c r="QOM38" s="1001"/>
      <c r="QON38" s="1001"/>
      <c r="QOO38" s="1001"/>
      <c r="QOP38" s="1001"/>
      <c r="QOQ38" s="1001"/>
      <c r="QOR38" s="1001"/>
      <c r="QOS38" s="1001"/>
      <c r="QOT38" s="1001"/>
      <c r="QOU38" s="1001"/>
      <c r="QOV38" s="1001"/>
      <c r="QOW38" s="1001"/>
      <c r="QOX38" s="1001"/>
      <c r="QOY38" s="1001"/>
      <c r="QOZ38" s="1001"/>
      <c r="QPA38" s="1001"/>
      <c r="QPB38" s="1001"/>
      <c r="QPC38" s="1001"/>
      <c r="QPD38" s="1001"/>
      <c r="QPE38" s="1001"/>
      <c r="QPF38" s="1001"/>
      <c r="QPG38" s="1001"/>
      <c r="QPH38" s="1001"/>
      <c r="QPI38" s="1001"/>
      <c r="QPJ38" s="1001"/>
      <c r="QPK38" s="1001"/>
      <c r="QPL38" s="1001"/>
      <c r="QPM38" s="1001"/>
      <c r="QPN38" s="1001"/>
      <c r="QPO38" s="1001"/>
      <c r="QPP38" s="1001"/>
      <c r="QPQ38" s="1001"/>
      <c r="QPR38" s="1001"/>
      <c r="QPS38" s="1001"/>
      <c r="QPT38" s="1001"/>
      <c r="QPU38" s="1001"/>
      <c r="QPV38" s="1001"/>
      <c r="QPW38" s="1001"/>
      <c r="QPX38" s="1001"/>
      <c r="QPY38" s="1001"/>
      <c r="QPZ38" s="1001"/>
      <c r="QQA38" s="1001"/>
      <c r="QQB38" s="1001"/>
      <c r="QQC38" s="1001"/>
      <c r="QQD38" s="1001"/>
      <c r="QQE38" s="1001"/>
      <c r="QQF38" s="1001"/>
      <c r="QQG38" s="1001"/>
      <c r="QQH38" s="1001"/>
      <c r="QQI38" s="1001"/>
      <c r="QQJ38" s="1001"/>
      <c r="QQK38" s="1001"/>
      <c r="QQL38" s="1001"/>
      <c r="QQM38" s="1001"/>
      <c r="QQN38" s="1001"/>
      <c r="QQO38" s="1001"/>
      <c r="QQP38" s="1001"/>
      <c r="QQQ38" s="1001"/>
      <c r="QQR38" s="1001"/>
      <c r="QQS38" s="1001"/>
      <c r="QQT38" s="1001"/>
      <c r="QQU38" s="1001"/>
      <c r="QQV38" s="1001"/>
      <c r="QQW38" s="1001"/>
      <c r="QQX38" s="1001"/>
      <c r="QQY38" s="1001"/>
      <c r="QQZ38" s="1001"/>
      <c r="QRA38" s="1001"/>
      <c r="QRB38" s="1001"/>
      <c r="QRC38" s="1001"/>
      <c r="QRD38" s="1001"/>
      <c r="QRE38" s="1001"/>
      <c r="QRF38" s="1001"/>
      <c r="QRG38" s="1001"/>
      <c r="QRH38" s="1001"/>
      <c r="QRI38" s="1001"/>
      <c r="QRJ38" s="1001"/>
      <c r="QRK38" s="1001"/>
      <c r="QRL38" s="1001"/>
      <c r="QRM38" s="1001"/>
      <c r="QRN38" s="1001"/>
      <c r="QRO38" s="1001"/>
      <c r="QRP38" s="1001"/>
      <c r="QRQ38" s="1001"/>
      <c r="QRR38" s="1001"/>
      <c r="QRS38" s="1001"/>
      <c r="QRT38" s="1001"/>
      <c r="QRU38" s="1001"/>
      <c r="QRV38" s="1001"/>
      <c r="QRW38" s="1001"/>
      <c r="QRX38" s="1001"/>
      <c r="QRY38" s="1001"/>
      <c r="QRZ38" s="1001"/>
      <c r="QSA38" s="1001"/>
      <c r="QSB38" s="1001"/>
      <c r="QSC38" s="1001"/>
      <c r="QSD38" s="1001"/>
      <c r="QSE38" s="1001"/>
      <c r="QSF38" s="1001"/>
      <c r="QSG38" s="1001"/>
      <c r="QSH38" s="1001"/>
      <c r="QSI38" s="1001"/>
      <c r="QSJ38" s="1001"/>
      <c r="QSK38" s="1001"/>
      <c r="QSL38" s="1001"/>
      <c r="QSM38" s="1001"/>
      <c r="QSN38" s="1001"/>
      <c r="QSO38" s="1001"/>
      <c r="QSP38" s="1001"/>
      <c r="QSQ38" s="1001"/>
      <c r="QSR38" s="1001"/>
      <c r="QSS38" s="1001"/>
      <c r="QST38" s="1001"/>
      <c r="QSU38" s="1001"/>
      <c r="QSV38" s="1001"/>
      <c r="QSW38" s="1001"/>
      <c r="QSX38" s="1001"/>
      <c r="QSY38" s="1001"/>
      <c r="QSZ38" s="1001"/>
      <c r="QTA38" s="1001"/>
      <c r="QTB38" s="1001"/>
      <c r="QTC38" s="1001"/>
      <c r="QTD38" s="1001"/>
      <c r="QTE38" s="1001"/>
      <c r="QTF38" s="1001"/>
      <c r="QTG38" s="1001"/>
      <c r="QTH38" s="1001"/>
      <c r="QTI38" s="1001"/>
      <c r="QTJ38" s="1001"/>
      <c r="QTK38" s="1001"/>
      <c r="QTL38" s="1001"/>
      <c r="QTM38" s="1001"/>
      <c r="QTN38" s="1001"/>
      <c r="QTO38" s="1001"/>
      <c r="QTP38" s="1001"/>
      <c r="QTQ38" s="1001"/>
      <c r="QTR38" s="1001"/>
      <c r="QTS38" s="1001"/>
      <c r="QTT38" s="1001"/>
      <c r="QTU38" s="1001"/>
      <c r="QTV38" s="1001"/>
      <c r="QTW38" s="1001"/>
      <c r="QTX38" s="1001"/>
      <c r="QTY38" s="1001"/>
      <c r="QTZ38" s="1001"/>
      <c r="QUA38" s="1001"/>
      <c r="QUB38" s="1001"/>
      <c r="QUC38" s="1001"/>
      <c r="QUD38" s="1001"/>
      <c r="QUE38" s="1001"/>
      <c r="QUF38" s="1001"/>
      <c r="QUG38" s="1001"/>
      <c r="QUH38" s="1001"/>
      <c r="QUI38" s="1001"/>
      <c r="QUJ38" s="1001"/>
      <c r="QUK38" s="1001"/>
      <c r="QUL38" s="1001"/>
      <c r="QUM38" s="1001"/>
      <c r="QUN38" s="1001"/>
      <c r="QUO38" s="1001"/>
      <c r="QUP38" s="1001"/>
      <c r="QUQ38" s="1001"/>
      <c r="QUR38" s="1001"/>
      <c r="QUS38" s="1001"/>
      <c r="QUT38" s="1001"/>
      <c r="QUU38" s="1001"/>
      <c r="QUV38" s="1001"/>
      <c r="QUW38" s="1001"/>
      <c r="QUX38" s="1001"/>
      <c r="QUY38" s="1001"/>
      <c r="QUZ38" s="1001"/>
      <c r="QVA38" s="1001"/>
      <c r="QVB38" s="1001"/>
      <c r="QVC38" s="1001"/>
      <c r="QVD38" s="1001"/>
      <c r="QVE38" s="1001"/>
      <c r="QVF38" s="1001"/>
      <c r="QVG38" s="1001"/>
      <c r="QVH38" s="1001"/>
      <c r="QVI38" s="1001"/>
      <c r="QVJ38" s="1001"/>
      <c r="QVK38" s="1001"/>
      <c r="QVL38" s="1001"/>
      <c r="QVM38" s="1001"/>
      <c r="QVN38" s="1001"/>
      <c r="QVO38" s="1001"/>
      <c r="QVP38" s="1001"/>
      <c r="QVQ38" s="1001"/>
      <c r="QVR38" s="1001"/>
      <c r="QVS38" s="1001"/>
      <c r="QVT38" s="1001"/>
      <c r="QVU38" s="1001"/>
      <c r="QVV38" s="1001"/>
      <c r="QVW38" s="1001"/>
      <c r="QVX38" s="1001"/>
      <c r="QVY38" s="1001"/>
      <c r="QVZ38" s="1001"/>
      <c r="QWA38" s="1001"/>
      <c r="QWB38" s="1001"/>
      <c r="QWC38" s="1001"/>
      <c r="QWD38" s="1001"/>
      <c r="QWE38" s="1001"/>
      <c r="QWF38" s="1001"/>
      <c r="QWG38" s="1001"/>
      <c r="QWH38" s="1001"/>
      <c r="QWI38" s="1001"/>
      <c r="QWJ38" s="1001"/>
      <c r="QWK38" s="1001"/>
      <c r="QWL38" s="1001"/>
      <c r="QWM38" s="1001"/>
      <c r="QWN38" s="1001"/>
      <c r="QWO38" s="1001"/>
      <c r="QWP38" s="1001"/>
      <c r="QWQ38" s="1001"/>
      <c r="QWR38" s="1001"/>
      <c r="QWS38" s="1001"/>
      <c r="QWT38" s="1001"/>
      <c r="QWU38" s="1001"/>
      <c r="QWV38" s="1001"/>
      <c r="QWW38" s="1001"/>
      <c r="QWX38" s="1001"/>
      <c r="QWY38" s="1001"/>
      <c r="QWZ38" s="1001"/>
      <c r="QXA38" s="1001"/>
      <c r="QXB38" s="1001"/>
      <c r="QXC38" s="1001"/>
      <c r="QXD38" s="1001"/>
      <c r="QXE38" s="1001"/>
      <c r="QXF38" s="1001"/>
      <c r="QXG38" s="1001"/>
      <c r="QXH38" s="1001"/>
      <c r="QXI38" s="1001"/>
      <c r="QXJ38" s="1001"/>
      <c r="QXK38" s="1001"/>
      <c r="QXL38" s="1001"/>
      <c r="QXM38" s="1001"/>
      <c r="QXN38" s="1001"/>
      <c r="QXO38" s="1001"/>
      <c r="QXP38" s="1001"/>
      <c r="QXQ38" s="1001"/>
      <c r="QXR38" s="1001"/>
      <c r="QXS38" s="1001"/>
      <c r="QXT38" s="1001"/>
      <c r="QXU38" s="1001"/>
      <c r="QXV38" s="1001"/>
      <c r="QXW38" s="1001"/>
      <c r="QXX38" s="1001"/>
      <c r="QXY38" s="1001"/>
      <c r="QXZ38" s="1001"/>
      <c r="QYA38" s="1001"/>
      <c r="QYB38" s="1001"/>
      <c r="QYC38" s="1001"/>
      <c r="QYD38" s="1001"/>
      <c r="QYE38" s="1001"/>
      <c r="QYF38" s="1001"/>
      <c r="QYG38" s="1001"/>
      <c r="QYH38" s="1001"/>
      <c r="QYI38" s="1001"/>
      <c r="QYJ38" s="1001"/>
      <c r="QYK38" s="1001"/>
      <c r="QYL38" s="1001"/>
      <c r="QYM38" s="1001"/>
      <c r="QYN38" s="1001"/>
      <c r="QYO38" s="1001"/>
      <c r="QYP38" s="1001"/>
      <c r="QYQ38" s="1001"/>
      <c r="QYR38" s="1001"/>
      <c r="QYS38" s="1001"/>
      <c r="QYT38" s="1001"/>
      <c r="QYU38" s="1001"/>
      <c r="QYV38" s="1001"/>
      <c r="QYW38" s="1001"/>
      <c r="QYX38" s="1001"/>
      <c r="QYY38" s="1001"/>
      <c r="QYZ38" s="1001"/>
      <c r="QZA38" s="1001"/>
      <c r="QZB38" s="1001"/>
      <c r="QZC38" s="1001"/>
      <c r="QZD38" s="1001"/>
      <c r="QZE38" s="1001"/>
      <c r="QZF38" s="1001"/>
      <c r="QZG38" s="1001"/>
      <c r="QZH38" s="1001"/>
      <c r="QZI38" s="1001"/>
      <c r="QZJ38" s="1001"/>
      <c r="QZK38" s="1001"/>
      <c r="QZL38" s="1001"/>
      <c r="QZM38" s="1001"/>
      <c r="QZN38" s="1001"/>
      <c r="QZO38" s="1001"/>
      <c r="QZP38" s="1001"/>
      <c r="QZQ38" s="1001"/>
      <c r="QZR38" s="1001"/>
      <c r="QZS38" s="1001"/>
      <c r="QZT38" s="1001"/>
      <c r="QZU38" s="1001"/>
      <c r="QZV38" s="1001"/>
      <c r="QZW38" s="1001"/>
      <c r="QZX38" s="1001"/>
      <c r="QZY38" s="1001"/>
      <c r="QZZ38" s="1001"/>
      <c r="RAA38" s="1001"/>
      <c r="RAB38" s="1001"/>
      <c r="RAC38" s="1001"/>
      <c r="RAD38" s="1001"/>
      <c r="RAE38" s="1001"/>
      <c r="RAF38" s="1001"/>
      <c r="RAG38" s="1001"/>
      <c r="RAH38" s="1001"/>
      <c r="RAI38" s="1001"/>
      <c r="RAJ38" s="1001"/>
      <c r="RAK38" s="1001"/>
      <c r="RAL38" s="1001"/>
      <c r="RAM38" s="1001"/>
      <c r="RAN38" s="1001"/>
      <c r="RAO38" s="1001"/>
      <c r="RAP38" s="1001"/>
      <c r="RAQ38" s="1001"/>
      <c r="RAR38" s="1001"/>
      <c r="RAS38" s="1001"/>
      <c r="RAT38" s="1001"/>
      <c r="RAU38" s="1001"/>
      <c r="RAV38" s="1001"/>
      <c r="RAW38" s="1001"/>
      <c r="RAX38" s="1001"/>
      <c r="RAY38" s="1001"/>
      <c r="RAZ38" s="1001"/>
      <c r="RBA38" s="1001"/>
      <c r="RBB38" s="1001"/>
      <c r="RBC38" s="1001"/>
      <c r="RBD38" s="1001"/>
      <c r="RBE38" s="1001"/>
      <c r="RBF38" s="1001"/>
      <c r="RBG38" s="1001"/>
      <c r="RBH38" s="1001"/>
      <c r="RBI38" s="1001"/>
      <c r="RBJ38" s="1001"/>
      <c r="RBK38" s="1001"/>
      <c r="RBL38" s="1001"/>
      <c r="RBM38" s="1001"/>
      <c r="RBN38" s="1001"/>
      <c r="RBO38" s="1001"/>
      <c r="RBP38" s="1001"/>
      <c r="RBQ38" s="1001"/>
      <c r="RBR38" s="1001"/>
      <c r="RBS38" s="1001"/>
      <c r="RBT38" s="1001"/>
      <c r="RBU38" s="1001"/>
      <c r="RBV38" s="1001"/>
      <c r="RBW38" s="1001"/>
      <c r="RBX38" s="1001"/>
      <c r="RBY38" s="1001"/>
      <c r="RBZ38" s="1001"/>
      <c r="RCA38" s="1001"/>
      <c r="RCB38" s="1001"/>
      <c r="RCC38" s="1001"/>
      <c r="RCD38" s="1001"/>
      <c r="RCE38" s="1001"/>
      <c r="RCF38" s="1001"/>
      <c r="RCG38" s="1001"/>
      <c r="RCH38" s="1001"/>
      <c r="RCI38" s="1001"/>
      <c r="RCJ38" s="1001"/>
      <c r="RCK38" s="1001"/>
      <c r="RCL38" s="1001"/>
      <c r="RCM38" s="1001"/>
      <c r="RCN38" s="1001"/>
      <c r="RCO38" s="1001"/>
      <c r="RCP38" s="1001"/>
      <c r="RCQ38" s="1001"/>
      <c r="RCR38" s="1001"/>
      <c r="RCS38" s="1001"/>
      <c r="RCT38" s="1001"/>
      <c r="RCU38" s="1001"/>
      <c r="RCV38" s="1001"/>
      <c r="RCW38" s="1001"/>
      <c r="RCX38" s="1001"/>
      <c r="RCY38" s="1001"/>
      <c r="RCZ38" s="1001"/>
      <c r="RDA38" s="1001"/>
      <c r="RDB38" s="1001"/>
      <c r="RDC38" s="1001"/>
      <c r="RDD38" s="1001"/>
      <c r="RDE38" s="1001"/>
      <c r="RDF38" s="1001"/>
      <c r="RDG38" s="1001"/>
      <c r="RDH38" s="1001"/>
      <c r="RDI38" s="1001"/>
      <c r="RDJ38" s="1001"/>
      <c r="RDK38" s="1001"/>
      <c r="RDL38" s="1001"/>
      <c r="RDM38" s="1001"/>
      <c r="RDN38" s="1001"/>
      <c r="RDO38" s="1001"/>
      <c r="RDP38" s="1001"/>
      <c r="RDQ38" s="1001"/>
      <c r="RDR38" s="1001"/>
      <c r="RDS38" s="1001"/>
      <c r="RDT38" s="1001"/>
      <c r="RDU38" s="1001"/>
      <c r="RDV38" s="1001"/>
      <c r="RDW38" s="1001"/>
      <c r="RDX38" s="1001"/>
      <c r="RDY38" s="1001"/>
      <c r="RDZ38" s="1001"/>
      <c r="REA38" s="1001"/>
      <c r="REB38" s="1001"/>
      <c r="REC38" s="1001"/>
      <c r="RED38" s="1001"/>
      <c r="REE38" s="1001"/>
      <c r="REF38" s="1001"/>
      <c r="REG38" s="1001"/>
      <c r="REH38" s="1001"/>
      <c r="REI38" s="1001"/>
      <c r="REJ38" s="1001"/>
      <c r="REK38" s="1001"/>
      <c r="REL38" s="1001"/>
      <c r="REM38" s="1001"/>
      <c r="REN38" s="1001"/>
      <c r="REO38" s="1001"/>
      <c r="REP38" s="1001"/>
      <c r="REQ38" s="1001"/>
      <c r="RER38" s="1001"/>
      <c r="RES38" s="1001"/>
      <c r="RET38" s="1001"/>
      <c r="REU38" s="1001"/>
      <c r="REV38" s="1001"/>
      <c r="REW38" s="1001"/>
      <c r="REX38" s="1001"/>
      <c r="REY38" s="1001"/>
      <c r="REZ38" s="1001"/>
      <c r="RFA38" s="1001"/>
      <c r="RFB38" s="1001"/>
      <c r="RFC38" s="1001"/>
      <c r="RFD38" s="1001"/>
      <c r="RFE38" s="1001"/>
      <c r="RFF38" s="1001"/>
      <c r="RFG38" s="1001"/>
      <c r="RFH38" s="1001"/>
      <c r="RFI38" s="1001"/>
      <c r="RFJ38" s="1001"/>
      <c r="RFK38" s="1001"/>
      <c r="RFL38" s="1001"/>
      <c r="RFM38" s="1001"/>
      <c r="RFN38" s="1001"/>
      <c r="RFO38" s="1001"/>
      <c r="RFP38" s="1001"/>
      <c r="RFQ38" s="1001"/>
      <c r="RFR38" s="1001"/>
      <c r="RFS38" s="1001"/>
      <c r="RFT38" s="1001"/>
      <c r="RFU38" s="1001"/>
      <c r="RFV38" s="1001"/>
      <c r="RFW38" s="1001"/>
      <c r="RFX38" s="1001"/>
      <c r="RFY38" s="1001"/>
      <c r="RFZ38" s="1001"/>
      <c r="RGA38" s="1001"/>
      <c r="RGB38" s="1001"/>
      <c r="RGC38" s="1001"/>
      <c r="RGD38" s="1001"/>
      <c r="RGE38" s="1001"/>
      <c r="RGF38" s="1001"/>
      <c r="RGG38" s="1001"/>
      <c r="RGH38" s="1001"/>
      <c r="RGI38" s="1001"/>
      <c r="RGJ38" s="1001"/>
      <c r="RGK38" s="1001"/>
      <c r="RGL38" s="1001"/>
      <c r="RGM38" s="1001"/>
      <c r="RGN38" s="1001"/>
      <c r="RGO38" s="1001"/>
      <c r="RGP38" s="1001"/>
      <c r="RGQ38" s="1001"/>
      <c r="RGR38" s="1001"/>
      <c r="RGS38" s="1001"/>
      <c r="RGT38" s="1001"/>
      <c r="RGU38" s="1001"/>
      <c r="RGV38" s="1001"/>
      <c r="RGW38" s="1001"/>
      <c r="RGX38" s="1001"/>
      <c r="RGY38" s="1001"/>
      <c r="RGZ38" s="1001"/>
      <c r="RHA38" s="1001"/>
      <c r="RHB38" s="1001"/>
      <c r="RHC38" s="1001"/>
      <c r="RHD38" s="1001"/>
      <c r="RHE38" s="1001"/>
      <c r="RHF38" s="1001"/>
      <c r="RHG38" s="1001"/>
      <c r="RHH38" s="1001"/>
      <c r="RHI38" s="1001"/>
      <c r="RHJ38" s="1001"/>
      <c r="RHK38" s="1001"/>
      <c r="RHL38" s="1001"/>
      <c r="RHM38" s="1001"/>
      <c r="RHN38" s="1001"/>
      <c r="RHO38" s="1001"/>
      <c r="RHP38" s="1001"/>
      <c r="RHQ38" s="1001"/>
      <c r="RHR38" s="1001"/>
      <c r="RHS38" s="1001"/>
      <c r="RHT38" s="1001"/>
      <c r="RHU38" s="1001"/>
      <c r="RHV38" s="1001"/>
      <c r="RHW38" s="1001"/>
      <c r="RHX38" s="1001"/>
      <c r="RHY38" s="1001"/>
      <c r="RHZ38" s="1001"/>
      <c r="RIA38" s="1001"/>
      <c r="RIB38" s="1001"/>
      <c r="RIC38" s="1001"/>
      <c r="RID38" s="1001"/>
      <c r="RIE38" s="1001"/>
      <c r="RIF38" s="1001"/>
      <c r="RIG38" s="1001"/>
      <c r="RIH38" s="1001"/>
      <c r="RII38" s="1001"/>
      <c r="RIJ38" s="1001"/>
      <c r="RIK38" s="1001"/>
      <c r="RIL38" s="1001"/>
      <c r="RIM38" s="1001"/>
      <c r="RIN38" s="1001"/>
      <c r="RIO38" s="1001"/>
      <c r="RIP38" s="1001"/>
      <c r="RIQ38" s="1001"/>
      <c r="RIR38" s="1001"/>
      <c r="RIS38" s="1001"/>
      <c r="RIT38" s="1001"/>
      <c r="RIU38" s="1001"/>
      <c r="RIV38" s="1001"/>
      <c r="RIW38" s="1001"/>
      <c r="RIX38" s="1001"/>
      <c r="RIY38" s="1001"/>
      <c r="RIZ38" s="1001"/>
      <c r="RJA38" s="1001"/>
      <c r="RJB38" s="1001"/>
      <c r="RJC38" s="1001"/>
      <c r="RJD38" s="1001"/>
      <c r="RJE38" s="1001"/>
      <c r="RJF38" s="1001"/>
      <c r="RJG38" s="1001"/>
      <c r="RJH38" s="1001"/>
      <c r="RJI38" s="1001"/>
      <c r="RJJ38" s="1001"/>
      <c r="RJK38" s="1001"/>
      <c r="RJL38" s="1001"/>
      <c r="RJM38" s="1001"/>
      <c r="RJN38" s="1001"/>
      <c r="RJO38" s="1001"/>
      <c r="RJP38" s="1001"/>
      <c r="RJQ38" s="1001"/>
      <c r="RJR38" s="1001"/>
      <c r="RJS38" s="1001"/>
      <c r="RJT38" s="1001"/>
      <c r="RJU38" s="1001"/>
      <c r="RJV38" s="1001"/>
      <c r="RJW38" s="1001"/>
      <c r="RJX38" s="1001"/>
      <c r="RJY38" s="1001"/>
      <c r="RJZ38" s="1001"/>
      <c r="RKA38" s="1001"/>
      <c r="RKB38" s="1001"/>
      <c r="RKC38" s="1001"/>
      <c r="RKD38" s="1001"/>
      <c r="RKE38" s="1001"/>
      <c r="RKF38" s="1001"/>
      <c r="RKG38" s="1001"/>
      <c r="RKH38" s="1001"/>
      <c r="RKI38" s="1001"/>
      <c r="RKJ38" s="1001"/>
      <c r="RKK38" s="1001"/>
      <c r="RKL38" s="1001"/>
      <c r="RKM38" s="1001"/>
      <c r="RKN38" s="1001"/>
      <c r="RKO38" s="1001"/>
      <c r="RKP38" s="1001"/>
      <c r="RKQ38" s="1001"/>
      <c r="RKR38" s="1001"/>
      <c r="RKS38" s="1001"/>
      <c r="RKT38" s="1001"/>
      <c r="RKU38" s="1001"/>
      <c r="RKV38" s="1001"/>
      <c r="RKW38" s="1001"/>
      <c r="RKX38" s="1001"/>
      <c r="RKY38" s="1001"/>
      <c r="RKZ38" s="1001"/>
      <c r="RLA38" s="1001"/>
      <c r="RLB38" s="1001"/>
      <c r="RLC38" s="1001"/>
      <c r="RLD38" s="1001"/>
      <c r="RLE38" s="1001"/>
      <c r="RLF38" s="1001"/>
      <c r="RLG38" s="1001"/>
      <c r="RLH38" s="1001"/>
      <c r="RLI38" s="1001"/>
      <c r="RLJ38" s="1001"/>
      <c r="RLK38" s="1001"/>
      <c r="RLL38" s="1001"/>
      <c r="RLM38" s="1001"/>
      <c r="RLN38" s="1001"/>
      <c r="RLO38" s="1001"/>
      <c r="RLP38" s="1001"/>
      <c r="RLQ38" s="1001"/>
      <c r="RLR38" s="1001"/>
      <c r="RLS38" s="1001"/>
      <c r="RLT38" s="1001"/>
      <c r="RLU38" s="1001"/>
      <c r="RLV38" s="1001"/>
      <c r="RLW38" s="1001"/>
      <c r="RLX38" s="1001"/>
      <c r="RLY38" s="1001"/>
      <c r="RLZ38" s="1001"/>
      <c r="RMA38" s="1001"/>
      <c r="RMB38" s="1001"/>
      <c r="RMC38" s="1001"/>
      <c r="RMD38" s="1001"/>
      <c r="RME38" s="1001"/>
      <c r="RMF38" s="1001"/>
      <c r="RMG38" s="1001"/>
      <c r="RMH38" s="1001"/>
      <c r="RMI38" s="1001"/>
      <c r="RMJ38" s="1001"/>
      <c r="RMK38" s="1001"/>
      <c r="RML38" s="1001"/>
      <c r="RMM38" s="1001"/>
      <c r="RMN38" s="1001"/>
      <c r="RMO38" s="1001"/>
      <c r="RMP38" s="1001"/>
      <c r="RMQ38" s="1001"/>
      <c r="RMR38" s="1001"/>
      <c r="RMS38" s="1001"/>
      <c r="RMT38" s="1001"/>
      <c r="RMU38" s="1001"/>
      <c r="RMV38" s="1001"/>
      <c r="RMW38" s="1001"/>
      <c r="RMX38" s="1001"/>
      <c r="RMY38" s="1001"/>
      <c r="RMZ38" s="1001"/>
      <c r="RNA38" s="1001"/>
      <c r="RNB38" s="1001"/>
      <c r="RNC38" s="1001"/>
      <c r="RND38" s="1001"/>
      <c r="RNE38" s="1001"/>
      <c r="RNF38" s="1001"/>
      <c r="RNG38" s="1001"/>
      <c r="RNH38" s="1001"/>
      <c r="RNI38" s="1001"/>
      <c r="RNJ38" s="1001"/>
      <c r="RNK38" s="1001"/>
      <c r="RNL38" s="1001"/>
      <c r="RNM38" s="1001"/>
      <c r="RNN38" s="1001"/>
      <c r="RNO38" s="1001"/>
      <c r="RNP38" s="1001"/>
      <c r="RNQ38" s="1001"/>
      <c r="RNR38" s="1001"/>
      <c r="RNS38" s="1001"/>
      <c r="RNT38" s="1001"/>
      <c r="RNU38" s="1001"/>
      <c r="RNV38" s="1001"/>
      <c r="RNW38" s="1001"/>
      <c r="RNX38" s="1001"/>
      <c r="RNY38" s="1001"/>
      <c r="RNZ38" s="1001"/>
      <c r="ROA38" s="1001"/>
      <c r="ROB38" s="1001"/>
      <c r="ROC38" s="1001"/>
      <c r="ROD38" s="1001"/>
      <c r="ROE38" s="1001"/>
      <c r="ROF38" s="1001"/>
      <c r="ROG38" s="1001"/>
      <c r="ROH38" s="1001"/>
      <c r="ROI38" s="1001"/>
      <c r="ROJ38" s="1001"/>
      <c r="ROK38" s="1001"/>
      <c r="ROL38" s="1001"/>
      <c r="ROM38" s="1001"/>
      <c r="RON38" s="1001"/>
      <c r="ROO38" s="1001"/>
      <c r="ROP38" s="1001"/>
      <c r="ROQ38" s="1001"/>
      <c r="ROR38" s="1001"/>
      <c r="ROS38" s="1001"/>
      <c r="ROT38" s="1001"/>
      <c r="ROU38" s="1001"/>
      <c r="ROV38" s="1001"/>
      <c r="ROW38" s="1001"/>
      <c r="ROX38" s="1001"/>
      <c r="ROY38" s="1001"/>
      <c r="ROZ38" s="1001"/>
      <c r="RPA38" s="1001"/>
      <c r="RPB38" s="1001"/>
      <c r="RPC38" s="1001"/>
      <c r="RPD38" s="1001"/>
      <c r="RPE38" s="1001"/>
      <c r="RPF38" s="1001"/>
      <c r="RPG38" s="1001"/>
      <c r="RPH38" s="1001"/>
      <c r="RPI38" s="1001"/>
      <c r="RPJ38" s="1001"/>
      <c r="RPK38" s="1001"/>
      <c r="RPL38" s="1001"/>
      <c r="RPM38" s="1001"/>
      <c r="RPN38" s="1001"/>
      <c r="RPO38" s="1001"/>
      <c r="RPP38" s="1001"/>
      <c r="RPQ38" s="1001"/>
      <c r="RPR38" s="1001"/>
      <c r="RPS38" s="1001"/>
      <c r="RPT38" s="1001"/>
      <c r="RPU38" s="1001"/>
      <c r="RPV38" s="1001"/>
      <c r="RPW38" s="1001"/>
      <c r="RPX38" s="1001"/>
      <c r="RPY38" s="1001"/>
      <c r="RPZ38" s="1001"/>
      <c r="RQA38" s="1001"/>
      <c r="RQB38" s="1001"/>
      <c r="RQC38" s="1001"/>
      <c r="RQD38" s="1001"/>
      <c r="RQE38" s="1001"/>
      <c r="RQF38" s="1001"/>
      <c r="RQG38" s="1001"/>
      <c r="RQH38" s="1001"/>
      <c r="RQI38" s="1001"/>
      <c r="RQJ38" s="1001"/>
      <c r="RQK38" s="1001"/>
      <c r="RQL38" s="1001"/>
      <c r="RQM38" s="1001"/>
      <c r="RQN38" s="1001"/>
      <c r="RQO38" s="1001"/>
      <c r="RQP38" s="1001"/>
      <c r="RQQ38" s="1001"/>
      <c r="RQR38" s="1001"/>
      <c r="RQS38" s="1001"/>
      <c r="RQT38" s="1001"/>
      <c r="RQU38" s="1001"/>
      <c r="RQV38" s="1001"/>
      <c r="RQW38" s="1001"/>
      <c r="RQX38" s="1001"/>
      <c r="RQY38" s="1001"/>
      <c r="RQZ38" s="1001"/>
      <c r="RRA38" s="1001"/>
      <c r="RRB38" s="1001"/>
      <c r="RRC38" s="1001"/>
      <c r="RRD38" s="1001"/>
      <c r="RRE38" s="1001"/>
      <c r="RRF38" s="1001"/>
      <c r="RRG38" s="1001"/>
      <c r="RRH38" s="1001"/>
      <c r="RRI38" s="1001"/>
      <c r="RRJ38" s="1001"/>
      <c r="RRK38" s="1001"/>
      <c r="RRL38" s="1001"/>
      <c r="RRM38" s="1001"/>
      <c r="RRN38" s="1001"/>
      <c r="RRO38" s="1001"/>
      <c r="RRP38" s="1001"/>
      <c r="RRQ38" s="1001"/>
      <c r="RRR38" s="1001"/>
      <c r="RRS38" s="1001"/>
      <c r="RRT38" s="1001"/>
      <c r="RRU38" s="1001"/>
      <c r="RRV38" s="1001"/>
      <c r="RRW38" s="1001"/>
      <c r="RRX38" s="1001"/>
      <c r="RRY38" s="1001"/>
      <c r="RRZ38" s="1001"/>
      <c r="RSA38" s="1001"/>
      <c r="RSB38" s="1001"/>
      <c r="RSC38" s="1001"/>
      <c r="RSD38" s="1001"/>
      <c r="RSE38" s="1001"/>
      <c r="RSF38" s="1001"/>
      <c r="RSG38" s="1001"/>
      <c r="RSH38" s="1001"/>
      <c r="RSI38" s="1001"/>
      <c r="RSJ38" s="1001"/>
      <c r="RSK38" s="1001"/>
      <c r="RSL38" s="1001"/>
      <c r="RSM38" s="1001"/>
      <c r="RSN38" s="1001"/>
      <c r="RSO38" s="1001"/>
      <c r="RSP38" s="1001"/>
      <c r="RSQ38" s="1001"/>
      <c r="RSR38" s="1001"/>
      <c r="RSS38" s="1001"/>
      <c r="RST38" s="1001"/>
      <c r="RSU38" s="1001"/>
      <c r="RSV38" s="1001"/>
      <c r="RSW38" s="1001"/>
      <c r="RSX38" s="1001"/>
      <c r="RSY38" s="1001"/>
      <c r="RSZ38" s="1001"/>
      <c r="RTA38" s="1001"/>
      <c r="RTB38" s="1001"/>
      <c r="RTC38" s="1001"/>
      <c r="RTD38" s="1001"/>
      <c r="RTE38" s="1001"/>
      <c r="RTF38" s="1001"/>
      <c r="RTG38" s="1001"/>
      <c r="RTH38" s="1001"/>
      <c r="RTI38" s="1001"/>
      <c r="RTJ38" s="1001"/>
      <c r="RTK38" s="1001"/>
      <c r="RTL38" s="1001"/>
      <c r="RTM38" s="1001"/>
      <c r="RTN38" s="1001"/>
      <c r="RTO38" s="1001"/>
      <c r="RTP38" s="1001"/>
      <c r="RTQ38" s="1001"/>
      <c r="RTR38" s="1001"/>
      <c r="RTS38" s="1001"/>
      <c r="RTT38" s="1001"/>
      <c r="RTU38" s="1001"/>
      <c r="RTV38" s="1001"/>
      <c r="RTW38" s="1001"/>
      <c r="RTX38" s="1001"/>
      <c r="RTY38" s="1001"/>
      <c r="RTZ38" s="1001"/>
      <c r="RUA38" s="1001"/>
      <c r="RUB38" s="1001"/>
      <c r="RUC38" s="1001"/>
      <c r="RUD38" s="1001"/>
      <c r="RUE38" s="1001"/>
      <c r="RUF38" s="1001"/>
      <c r="RUG38" s="1001"/>
      <c r="RUH38" s="1001"/>
      <c r="RUI38" s="1001"/>
      <c r="RUJ38" s="1001"/>
      <c r="RUK38" s="1001"/>
      <c r="RUL38" s="1001"/>
      <c r="RUM38" s="1001"/>
      <c r="RUN38" s="1001"/>
      <c r="RUO38" s="1001"/>
      <c r="RUP38" s="1001"/>
      <c r="RUQ38" s="1001"/>
      <c r="RUR38" s="1001"/>
      <c r="RUS38" s="1001"/>
      <c r="RUT38" s="1001"/>
      <c r="RUU38" s="1001"/>
      <c r="RUV38" s="1001"/>
      <c r="RUW38" s="1001"/>
      <c r="RUX38" s="1001"/>
      <c r="RUY38" s="1001"/>
      <c r="RUZ38" s="1001"/>
      <c r="RVA38" s="1001"/>
      <c r="RVB38" s="1001"/>
      <c r="RVC38" s="1001"/>
      <c r="RVD38" s="1001"/>
      <c r="RVE38" s="1001"/>
      <c r="RVF38" s="1001"/>
      <c r="RVG38" s="1001"/>
      <c r="RVH38" s="1001"/>
      <c r="RVI38" s="1001"/>
      <c r="RVJ38" s="1001"/>
      <c r="RVK38" s="1001"/>
      <c r="RVL38" s="1001"/>
      <c r="RVM38" s="1001"/>
      <c r="RVN38" s="1001"/>
      <c r="RVO38" s="1001"/>
      <c r="RVP38" s="1001"/>
      <c r="RVQ38" s="1001"/>
      <c r="RVR38" s="1001"/>
      <c r="RVS38" s="1001"/>
      <c r="RVT38" s="1001"/>
      <c r="RVU38" s="1001"/>
      <c r="RVV38" s="1001"/>
      <c r="RVW38" s="1001"/>
      <c r="RVX38" s="1001"/>
      <c r="RVY38" s="1001"/>
      <c r="RVZ38" s="1001"/>
      <c r="RWA38" s="1001"/>
      <c r="RWB38" s="1001"/>
      <c r="RWC38" s="1001"/>
      <c r="RWD38" s="1001"/>
      <c r="RWE38" s="1001"/>
      <c r="RWF38" s="1001"/>
      <c r="RWG38" s="1001"/>
      <c r="RWH38" s="1001"/>
      <c r="RWI38" s="1001"/>
      <c r="RWJ38" s="1001"/>
      <c r="RWK38" s="1001"/>
      <c r="RWL38" s="1001"/>
      <c r="RWM38" s="1001"/>
      <c r="RWN38" s="1001"/>
      <c r="RWO38" s="1001"/>
      <c r="RWP38" s="1001"/>
      <c r="RWQ38" s="1001"/>
      <c r="RWR38" s="1001"/>
      <c r="RWS38" s="1001"/>
      <c r="RWT38" s="1001"/>
      <c r="RWU38" s="1001"/>
      <c r="RWV38" s="1001"/>
      <c r="RWW38" s="1001"/>
      <c r="RWX38" s="1001"/>
      <c r="RWY38" s="1001"/>
      <c r="RWZ38" s="1001"/>
      <c r="RXA38" s="1001"/>
      <c r="RXB38" s="1001"/>
      <c r="RXC38" s="1001"/>
      <c r="RXD38" s="1001"/>
      <c r="RXE38" s="1001"/>
      <c r="RXF38" s="1001"/>
      <c r="RXG38" s="1001"/>
      <c r="RXH38" s="1001"/>
      <c r="RXI38" s="1001"/>
      <c r="RXJ38" s="1001"/>
      <c r="RXK38" s="1001"/>
      <c r="RXL38" s="1001"/>
      <c r="RXM38" s="1001"/>
      <c r="RXN38" s="1001"/>
      <c r="RXO38" s="1001"/>
      <c r="RXP38" s="1001"/>
      <c r="RXQ38" s="1001"/>
      <c r="RXR38" s="1001"/>
      <c r="RXS38" s="1001"/>
      <c r="RXT38" s="1001"/>
      <c r="RXU38" s="1001"/>
      <c r="RXV38" s="1001"/>
      <c r="RXW38" s="1001"/>
      <c r="RXX38" s="1001"/>
      <c r="RXY38" s="1001"/>
      <c r="RXZ38" s="1001"/>
      <c r="RYA38" s="1001"/>
      <c r="RYB38" s="1001"/>
      <c r="RYC38" s="1001"/>
      <c r="RYD38" s="1001"/>
      <c r="RYE38" s="1001"/>
      <c r="RYF38" s="1001"/>
      <c r="RYG38" s="1001"/>
      <c r="RYH38" s="1001"/>
      <c r="RYI38" s="1001"/>
      <c r="RYJ38" s="1001"/>
      <c r="RYK38" s="1001"/>
      <c r="RYL38" s="1001"/>
      <c r="RYM38" s="1001"/>
      <c r="RYN38" s="1001"/>
      <c r="RYO38" s="1001"/>
      <c r="RYP38" s="1001"/>
      <c r="RYQ38" s="1001"/>
      <c r="RYR38" s="1001"/>
      <c r="RYS38" s="1001"/>
      <c r="RYT38" s="1001"/>
      <c r="RYU38" s="1001"/>
      <c r="RYV38" s="1001"/>
      <c r="RYW38" s="1001"/>
      <c r="RYX38" s="1001"/>
      <c r="RYY38" s="1001"/>
      <c r="RYZ38" s="1001"/>
      <c r="RZA38" s="1001"/>
      <c r="RZB38" s="1001"/>
      <c r="RZC38" s="1001"/>
      <c r="RZD38" s="1001"/>
      <c r="RZE38" s="1001"/>
      <c r="RZF38" s="1001"/>
      <c r="RZG38" s="1001"/>
      <c r="RZH38" s="1001"/>
      <c r="RZI38" s="1001"/>
      <c r="RZJ38" s="1001"/>
      <c r="RZK38" s="1001"/>
      <c r="RZL38" s="1001"/>
      <c r="RZM38" s="1001"/>
      <c r="RZN38" s="1001"/>
      <c r="RZO38" s="1001"/>
      <c r="RZP38" s="1001"/>
      <c r="RZQ38" s="1001"/>
      <c r="RZR38" s="1001"/>
      <c r="RZS38" s="1001"/>
      <c r="RZT38" s="1001"/>
      <c r="RZU38" s="1001"/>
      <c r="RZV38" s="1001"/>
      <c r="RZW38" s="1001"/>
      <c r="RZX38" s="1001"/>
      <c r="RZY38" s="1001"/>
      <c r="RZZ38" s="1001"/>
      <c r="SAA38" s="1001"/>
      <c r="SAB38" s="1001"/>
      <c r="SAC38" s="1001"/>
      <c r="SAD38" s="1001"/>
      <c r="SAE38" s="1001"/>
      <c r="SAF38" s="1001"/>
      <c r="SAG38" s="1001"/>
      <c r="SAH38" s="1001"/>
      <c r="SAI38" s="1001"/>
      <c r="SAJ38" s="1001"/>
      <c r="SAK38" s="1001"/>
      <c r="SAL38" s="1001"/>
      <c r="SAM38" s="1001"/>
      <c r="SAN38" s="1001"/>
      <c r="SAO38" s="1001"/>
      <c r="SAP38" s="1001"/>
      <c r="SAQ38" s="1001"/>
      <c r="SAR38" s="1001"/>
      <c r="SAS38" s="1001"/>
      <c r="SAT38" s="1001"/>
      <c r="SAU38" s="1001"/>
      <c r="SAV38" s="1001"/>
      <c r="SAW38" s="1001"/>
      <c r="SAX38" s="1001"/>
      <c r="SAY38" s="1001"/>
      <c r="SAZ38" s="1001"/>
      <c r="SBA38" s="1001"/>
      <c r="SBB38" s="1001"/>
      <c r="SBC38" s="1001"/>
      <c r="SBD38" s="1001"/>
      <c r="SBE38" s="1001"/>
      <c r="SBF38" s="1001"/>
      <c r="SBG38" s="1001"/>
      <c r="SBH38" s="1001"/>
      <c r="SBI38" s="1001"/>
      <c r="SBJ38" s="1001"/>
      <c r="SBK38" s="1001"/>
      <c r="SBL38" s="1001"/>
      <c r="SBM38" s="1001"/>
      <c r="SBN38" s="1001"/>
      <c r="SBO38" s="1001"/>
      <c r="SBP38" s="1001"/>
      <c r="SBQ38" s="1001"/>
      <c r="SBR38" s="1001"/>
      <c r="SBS38" s="1001"/>
      <c r="SBT38" s="1001"/>
      <c r="SBU38" s="1001"/>
      <c r="SBV38" s="1001"/>
      <c r="SBW38" s="1001"/>
      <c r="SBX38" s="1001"/>
      <c r="SBY38" s="1001"/>
      <c r="SBZ38" s="1001"/>
      <c r="SCA38" s="1001"/>
      <c r="SCB38" s="1001"/>
      <c r="SCC38" s="1001"/>
      <c r="SCD38" s="1001"/>
      <c r="SCE38" s="1001"/>
      <c r="SCF38" s="1001"/>
      <c r="SCG38" s="1001"/>
      <c r="SCH38" s="1001"/>
      <c r="SCI38" s="1001"/>
      <c r="SCJ38" s="1001"/>
      <c r="SCK38" s="1001"/>
      <c r="SCL38" s="1001"/>
      <c r="SCM38" s="1001"/>
      <c r="SCN38" s="1001"/>
      <c r="SCO38" s="1001"/>
      <c r="SCP38" s="1001"/>
      <c r="SCQ38" s="1001"/>
      <c r="SCR38" s="1001"/>
      <c r="SCS38" s="1001"/>
      <c r="SCT38" s="1001"/>
      <c r="SCU38" s="1001"/>
      <c r="SCV38" s="1001"/>
      <c r="SCW38" s="1001"/>
      <c r="SCX38" s="1001"/>
      <c r="SCY38" s="1001"/>
      <c r="SCZ38" s="1001"/>
      <c r="SDA38" s="1001"/>
      <c r="SDB38" s="1001"/>
      <c r="SDC38" s="1001"/>
      <c r="SDD38" s="1001"/>
      <c r="SDE38" s="1001"/>
      <c r="SDF38" s="1001"/>
      <c r="SDG38" s="1001"/>
      <c r="SDH38" s="1001"/>
      <c r="SDI38" s="1001"/>
      <c r="SDJ38" s="1001"/>
      <c r="SDK38" s="1001"/>
      <c r="SDL38" s="1001"/>
      <c r="SDM38" s="1001"/>
      <c r="SDN38" s="1001"/>
      <c r="SDO38" s="1001"/>
      <c r="SDP38" s="1001"/>
      <c r="SDQ38" s="1001"/>
      <c r="SDR38" s="1001"/>
      <c r="SDS38" s="1001"/>
      <c r="SDT38" s="1001"/>
      <c r="SDU38" s="1001"/>
      <c r="SDV38" s="1001"/>
      <c r="SDW38" s="1001"/>
      <c r="SDX38" s="1001"/>
      <c r="SDY38" s="1001"/>
      <c r="SDZ38" s="1001"/>
      <c r="SEA38" s="1001"/>
      <c r="SEB38" s="1001"/>
      <c r="SEC38" s="1001"/>
      <c r="SED38" s="1001"/>
      <c r="SEE38" s="1001"/>
      <c r="SEF38" s="1001"/>
      <c r="SEG38" s="1001"/>
      <c r="SEH38" s="1001"/>
      <c r="SEI38" s="1001"/>
      <c r="SEJ38" s="1001"/>
      <c r="SEK38" s="1001"/>
      <c r="SEL38" s="1001"/>
      <c r="SEM38" s="1001"/>
      <c r="SEN38" s="1001"/>
      <c r="SEO38" s="1001"/>
      <c r="SEP38" s="1001"/>
      <c r="SEQ38" s="1001"/>
      <c r="SER38" s="1001"/>
      <c r="SES38" s="1001"/>
      <c r="SET38" s="1001"/>
      <c r="SEU38" s="1001"/>
      <c r="SEV38" s="1001"/>
      <c r="SEW38" s="1001"/>
      <c r="SEX38" s="1001"/>
      <c r="SEY38" s="1001"/>
      <c r="SEZ38" s="1001"/>
      <c r="SFA38" s="1001"/>
      <c r="SFB38" s="1001"/>
      <c r="SFC38" s="1001"/>
      <c r="SFD38" s="1001"/>
      <c r="SFE38" s="1001"/>
      <c r="SFF38" s="1001"/>
      <c r="SFG38" s="1001"/>
      <c r="SFH38" s="1001"/>
      <c r="SFI38" s="1001"/>
      <c r="SFJ38" s="1001"/>
      <c r="SFK38" s="1001"/>
      <c r="SFL38" s="1001"/>
      <c r="SFM38" s="1001"/>
      <c r="SFN38" s="1001"/>
      <c r="SFO38" s="1001"/>
      <c r="SFP38" s="1001"/>
      <c r="SFQ38" s="1001"/>
      <c r="SFR38" s="1001"/>
      <c r="SFS38" s="1001"/>
      <c r="SFT38" s="1001"/>
      <c r="SFU38" s="1001"/>
      <c r="SFV38" s="1001"/>
      <c r="SFW38" s="1001"/>
      <c r="SFX38" s="1001"/>
      <c r="SFY38" s="1001"/>
      <c r="SFZ38" s="1001"/>
      <c r="SGA38" s="1001"/>
      <c r="SGB38" s="1001"/>
      <c r="SGC38" s="1001"/>
      <c r="SGD38" s="1001"/>
      <c r="SGE38" s="1001"/>
      <c r="SGF38" s="1001"/>
      <c r="SGG38" s="1001"/>
      <c r="SGH38" s="1001"/>
      <c r="SGI38" s="1001"/>
      <c r="SGJ38" s="1001"/>
      <c r="SGK38" s="1001"/>
      <c r="SGL38" s="1001"/>
      <c r="SGM38" s="1001"/>
      <c r="SGN38" s="1001"/>
      <c r="SGO38" s="1001"/>
      <c r="SGP38" s="1001"/>
      <c r="SGQ38" s="1001"/>
      <c r="SGR38" s="1001"/>
      <c r="SGS38" s="1001"/>
      <c r="SGT38" s="1001"/>
      <c r="SGU38" s="1001"/>
      <c r="SGV38" s="1001"/>
      <c r="SGW38" s="1001"/>
      <c r="SGX38" s="1001"/>
      <c r="SGY38" s="1001"/>
      <c r="SGZ38" s="1001"/>
      <c r="SHA38" s="1001"/>
      <c r="SHB38" s="1001"/>
      <c r="SHC38" s="1001"/>
      <c r="SHD38" s="1001"/>
      <c r="SHE38" s="1001"/>
      <c r="SHF38" s="1001"/>
      <c r="SHG38" s="1001"/>
      <c r="SHH38" s="1001"/>
      <c r="SHI38" s="1001"/>
      <c r="SHJ38" s="1001"/>
      <c r="SHK38" s="1001"/>
      <c r="SHL38" s="1001"/>
      <c r="SHM38" s="1001"/>
      <c r="SHN38" s="1001"/>
      <c r="SHO38" s="1001"/>
      <c r="SHP38" s="1001"/>
      <c r="SHQ38" s="1001"/>
      <c r="SHR38" s="1001"/>
      <c r="SHS38" s="1001"/>
      <c r="SHT38" s="1001"/>
      <c r="SHU38" s="1001"/>
      <c r="SHV38" s="1001"/>
      <c r="SHW38" s="1001"/>
      <c r="SHX38" s="1001"/>
      <c r="SHY38" s="1001"/>
      <c r="SHZ38" s="1001"/>
      <c r="SIA38" s="1001"/>
      <c r="SIB38" s="1001"/>
      <c r="SIC38" s="1001"/>
      <c r="SID38" s="1001"/>
      <c r="SIE38" s="1001"/>
      <c r="SIF38" s="1001"/>
      <c r="SIG38" s="1001"/>
      <c r="SIH38" s="1001"/>
      <c r="SII38" s="1001"/>
      <c r="SIJ38" s="1001"/>
      <c r="SIK38" s="1001"/>
      <c r="SIL38" s="1001"/>
      <c r="SIM38" s="1001"/>
      <c r="SIN38" s="1001"/>
      <c r="SIO38" s="1001"/>
      <c r="SIP38" s="1001"/>
      <c r="SIQ38" s="1001"/>
      <c r="SIR38" s="1001"/>
      <c r="SIS38" s="1001"/>
      <c r="SIT38" s="1001"/>
      <c r="SIU38" s="1001"/>
      <c r="SIV38" s="1001"/>
      <c r="SIW38" s="1001"/>
      <c r="SIX38" s="1001"/>
      <c r="SIY38" s="1001"/>
      <c r="SIZ38" s="1001"/>
      <c r="SJA38" s="1001"/>
      <c r="SJB38" s="1001"/>
      <c r="SJC38" s="1001"/>
      <c r="SJD38" s="1001"/>
      <c r="SJE38" s="1001"/>
      <c r="SJF38" s="1001"/>
      <c r="SJG38" s="1001"/>
      <c r="SJH38" s="1001"/>
      <c r="SJI38" s="1001"/>
      <c r="SJJ38" s="1001"/>
      <c r="SJK38" s="1001"/>
      <c r="SJL38" s="1001"/>
      <c r="SJM38" s="1001"/>
      <c r="SJN38" s="1001"/>
      <c r="SJO38" s="1001"/>
      <c r="SJP38" s="1001"/>
      <c r="SJQ38" s="1001"/>
      <c r="SJR38" s="1001"/>
      <c r="SJS38" s="1001"/>
      <c r="SJT38" s="1001"/>
      <c r="SJU38" s="1001"/>
      <c r="SJV38" s="1001"/>
      <c r="SJW38" s="1001"/>
      <c r="SJX38" s="1001"/>
      <c r="SJY38" s="1001"/>
      <c r="SJZ38" s="1001"/>
      <c r="SKA38" s="1001"/>
      <c r="SKB38" s="1001"/>
      <c r="SKC38" s="1001"/>
      <c r="SKD38" s="1001"/>
      <c r="SKE38" s="1001"/>
      <c r="SKF38" s="1001"/>
      <c r="SKG38" s="1001"/>
      <c r="SKH38" s="1001"/>
      <c r="SKI38" s="1001"/>
      <c r="SKJ38" s="1001"/>
      <c r="SKK38" s="1001"/>
      <c r="SKL38" s="1001"/>
      <c r="SKM38" s="1001"/>
      <c r="SKN38" s="1001"/>
      <c r="SKO38" s="1001"/>
      <c r="SKP38" s="1001"/>
      <c r="SKQ38" s="1001"/>
      <c r="SKR38" s="1001"/>
      <c r="SKS38" s="1001"/>
      <c r="SKT38" s="1001"/>
      <c r="SKU38" s="1001"/>
      <c r="SKV38" s="1001"/>
      <c r="SKW38" s="1001"/>
      <c r="SKX38" s="1001"/>
      <c r="SKY38" s="1001"/>
      <c r="SKZ38" s="1001"/>
      <c r="SLA38" s="1001"/>
      <c r="SLB38" s="1001"/>
      <c r="SLC38" s="1001"/>
      <c r="SLD38" s="1001"/>
      <c r="SLE38" s="1001"/>
      <c r="SLF38" s="1001"/>
      <c r="SLG38" s="1001"/>
      <c r="SLH38" s="1001"/>
      <c r="SLI38" s="1001"/>
      <c r="SLJ38" s="1001"/>
      <c r="SLK38" s="1001"/>
      <c r="SLL38" s="1001"/>
      <c r="SLM38" s="1001"/>
      <c r="SLN38" s="1001"/>
      <c r="SLO38" s="1001"/>
      <c r="SLP38" s="1001"/>
      <c r="SLQ38" s="1001"/>
      <c r="SLR38" s="1001"/>
      <c r="SLS38" s="1001"/>
      <c r="SLT38" s="1001"/>
      <c r="SLU38" s="1001"/>
      <c r="SLV38" s="1001"/>
      <c r="SLW38" s="1001"/>
      <c r="SLX38" s="1001"/>
      <c r="SLY38" s="1001"/>
      <c r="SLZ38" s="1001"/>
      <c r="SMA38" s="1001"/>
      <c r="SMB38" s="1001"/>
      <c r="SMC38" s="1001"/>
      <c r="SMD38" s="1001"/>
      <c r="SME38" s="1001"/>
      <c r="SMF38" s="1001"/>
      <c r="SMG38" s="1001"/>
      <c r="SMH38" s="1001"/>
      <c r="SMI38" s="1001"/>
      <c r="SMJ38" s="1001"/>
      <c r="SMK38" s="1001"/>
      <c r="SML38" s="1001"/>
      <c r="SMM38" s="1001"/>
      <c r="SMN38" s="1001"/>
      <c r="SMO38" s="1001"/>
      <c r="SMP38" s="1001"/>
      <c r="SMQ38" s="1001"/>
      <c r="SMR38" s="1001"/>
      <c r="SMS38" s="1001"/>
      <c r="SMT38" s="1001"/>
      <c r="SMU38" s="1001"/>
      <c r="SMV38" s="1001"/>
      <c r="SMW38" s="1001"/>
      <c r="SMX38" s="1001"/>
      <c r="SMY38" s="1001"/>
      <c r="SMZ38" s="1001"/>
      <c r="SNA38" s="1001"/>
      <c r="SNB38" s="1001"/>
      <c r="SNC38" s="1001"/>
      <c r="SND38" s="1001"/>
      <c r="SNE38" s="1001"/>
      <c r="SNF38" s="1001"/>
      <c r="SNG38" s="1001"/>
      <c r="SNH38" s="1001"/>
      <c r="SNI38" s="1001"/>
      <c r="SNJ38" s="1001"/>
      <c r="SNK38" s="1001"/>
      <c r="SNL38" s="1001"/>
      <c r="SNM38" s="1001"/>
      <c r="SNN38" s="1001"/>
      <c r="SNO38" s="1001"/>
      <c r="SNP38" s="1001"/>
      <c r="SNQ38" s="1001"/>
      <c r="SNR38" s="1001"/>
      <c r="SNS38" s="1001"/>
      <c r="SNT38" s="1001"/>
      <c r="SNU38" s="1001"/>
      <c r="SNV38" s="1001"/>
      <c r="SNW38" s="1001"/>
      <c r="SNX38" s="1001"/>
      <c r="SNY38" s="1001"/>
      <c r="SNZ38" s="1001"/>
      <c r="SOA38" s="1001"/>
      <c r="SOB38" s="1001"/>
      <c r="SOC38" s="1001"/>
      <c r="SOD38" s="1001"/>
      <c r="SOE38" s="1001"/>
      <c r="SOF38" s="1001"/>
      <c r="SOG38" s="1001"/>
      <c r="SOH38" s="1001"/>
      <c r="SOI38" s="1001"/>
      <c r="SOJ38" s="1001"/>
      <c r="SOK38" s="1001"/>
      <c r="SOL38" s="1001"/>
      <c r="SOM38" s="1001"/>
      <c r="SON38" s="1001"/>
      <c r="SOO38" s="1001"/>
      <c r="SOP38" s="1001"/>
      <c r="SOQ38" s="1001"/>
      <c r="SOR38" s="1001"/>
      <c r="SOS38" s="1001"/>
      <c r="SOT38" s="1001"/>
      <c r="SOU38" s="1001"/>
      <c r="SOV38" s="1001"/>
      <c r="SOW38" s="1001"/>
      <c r="SOX38" s="1001"/>
      <c r="SOY38" s="1001"/>
      <c r="SOZ38" s="1001"/>
      <c r="SPA38" s="1001"/>
      <c r="SPB38" s="1001"/>
      <c r="SPC38" s="1001"/>
      <c r="SPD38" s="1001"/>
      <c r="SPE38" s="1001"/>
      <c r="SPF38" s="1001"/>
      <c r="SPG38" s="1001"/>
      <c r="SPH38" s="1001"/>
      <c r="SPI38" s="1001"/>
      <c r="SPJ38" s="1001"/>
      <c r="SPK38" s="1001"/>
      <c r="SPL38" s="1001"/>
      <c r="SPM38" s="1001"/>
      <c r="SPN38" s="1001"/>
      <c r="SPO38" s="1001"/>
      <c r="SPP38" s="1001"/>
      <c r="SPQ38" s="1001"/>
      <c r="SPR38" s="1001"/>
      <c r="SPS38" s="1001"/>
      <c r="SPT38" s="1001"/>
      <c r="SPU38" s="1001"/>
      <c r="SPV38" s="1001"/>
      <c r="SPW38" s="1001"/>
      <c r="SPX38" s="1001"/>
      <c r="SPY38" s="1001"/>
      <c r="SPZ38" s="1001"/>
      <c r="SQA38" s="1001"/>
      <c r="SQB38" s="1001"/>
      <c r="SQC38" s="1001"/>
      <c r="SQD38" s="1001"/>
      <c r="SQE38" s="1001"/>
      <c r="SQF38" s="1001"/>
      <c r="SQG38" s="1001"/>
      <c r="SQH38" s="1001"/>
      <c r="SQI38" s="1001"/>
      <c r="SQJ38" s="1001"/>
      <c r="SQK38" s="1001"/>
      <c r="SQL38" s="1001"/>
      <c r="SQM38" s="1001"/>
      <c r="SQN38" s="1001"/>
      <c r="SQO38" s="1001"/>
      <c r="SQP38" s="1001"/>
      <c r="SQQ38" s="1001"/>
      <c r="SQR38" s="1001"/>
      <c r="SQS38" s="1001"/>
      <c r="SQT38" s="1001"/>
      <c r="SQU38" s="1001"/>
      <c r="SQV38" s="1001"/>
      <c r="SQW38" s="1001"/>
      <c r="SQX38" s="1001"/>
      <c r="SQY38" s="1001"/>
      <c r="SQZ38" s="1001"/>
      <c r="SRA38" s="1001"/>
      <c r="SRB38" s="1001"/>
      <c r="SRC38" s="1001"/>
      <c r="SRD38" s="1001"/>
      <c r="SRE38" s="1001"/>
      <c r="SRF38" s="1001"/>
      <c r="SRG38" s="1001"/>
      <c r="SRH38" s="1001"/>
      <c r="SRI38" s="1001"/>
      <c r="SRJ38" s="1001"/>
      <c r="SRK38" s="1001"/>
      <c r="SRL38" s="1001"/>
      <c r="SRM38" s="1001"/>
      <c r="SRN38" s="1001"/>
      <c r="SRO38" s="1001"/>
      <c r="SRP38" s="1001"/>
      <c r="SRQ38" s="1001"/>
      <c r="SRR38" s="1001"/>
      <c r="SRS38" s="1001"/>
      <c r="SRT38" s="1001"/>
      <c r="SRU38" s="1001"/>
      <c r="SRV38" s="1001"/>
      <c r="SRW38" s="1001"/>
      <c r="SRX38" s="1001"/>
      <c r="SRY38" s="1001"/>
      <c r="SRZ38" s="1001"/>
      <c r="SSA38" s="1001"/>
      <c r="SSB38" s="1001"/>
      <c r="SSC38" s="1001"/>
      <c r="SSD38" s="1001"/>
      <c r="SSE38" s="1001"/>
      <c r="SSF38" s="1001"/>
      <c r="SSG38" s="1001"/>
      <c r="SSH38" s="1001"/>
      <c r="SSI38" s="1001"/>
      <c r="SSJ38" s="1001"/>
      <c r="SSK38" s="1001"/>
      <c r="SSL38" s="1001"/>
      <c r="SSM38" s="1001"/>
      <c r="SSN38" s="1001"/>
      <c r="SSO38" s="1001"/>
      <c r="SSP38" s="1001"/>
      <c r="SSQ38" s="1001"/>
      <c r="SSR38" s="1001"/>
      <c r="SSS38" s="1001"/>
      <c r="SST38" s="1001"/>
      <c r="SSU38" s="1001"/>
      <c r="SSV38" s="1001"/>
      <c r="SSW38" s="1001"/>
      <c r="SSX38" s="1001"/>
      <c r="SSY38" s="1001"/>
      <c r="SSZ38" s="1001"/>
      <c r="STA38" s="1001"/>
      <c r="STB38" s="1001"/>
      <c r="STC38" s="1001"/>
      <c r="STD38" s="1001"/>
      <c r="STE38" s="1001"/>
      <c r="STF38" s="1001"/>
      <c r="STG38" s="1001"/>
      <c r="STH38" s="1001"/>
      <c r="STI38" s="1001"/>
      <c r="STJ38" s="1001"/>
      <c r="STK38" s="1001"/>
      <c r="STL38" s="1001"/>
      <c r="STM38" s="1001"/>
      <c r="STN38" s="1001"/>
      <c r="STO38" s="1001"/>
      <c r="STP38" s="1001"/>
      <c r="STQ38" s="1001"/>
      <c r="STR38" s="1001"/>
      <c r="STS38" s="1001"/>
      <c r="STT38" s="1001"/>
      <c r="STU38" s="1001"/>
      <c r="STV38" s="1001"/>
      <c r="STW38" s="1001"/>
      <c r="STX38" s="1001"/>
      <c r="STY38" s="1001"/>
      <c r="STZ38" s="1001"/>
      <c r="SUA38" s="1001"/>
      <c r="SUB38" s="1001"/>
      <c r="SUC38" s="1001"/>
      <c r="SUD38" s="1001"/>
      <c r="SUE38" s="1001"/>
      <c r="SUF38" s="1001"/>
      <c r="SUG38" s="1001"/>
      <c r="SUH38" s="1001"/>
      <c r="SUI38" s="1001"/>
      <c r="SUJ38" s="1001"/>
      <c r="SUK38" s="1001"/>
      <c r="SUL38" s="1001"/>
      <c r="SUM38" s="1001"/>
      <c r="SUN38" s="1001"/>
      <c r="SUO38" s="1001"/>
      <c r="SUP38" s="1001"/>
      <c r="SUQ38" s="1001"/>
      <c r="SUR38" s="1001"/>
      <c r="SUS38" s="1001"/>
      <c r="SUT38" s="1001"/>
      <c r="SUU38" s="1001"/>
      <c r="SUV38" s="1001"/>
      <c r="SUW38" s="1001"/>
      <c r="SUX38" s="1001"/>
      <c r="SUY38" s="1001"/>
      <c r="SUZ38" s="1001"/>
      <c r="SVA38" s="1001"/>
      <c r="SVB38" s="1001"/>
      <c r="SVC38" s="1001"/>
      <c r="SVD38" s="1001"/>
      <c r="SVE38" s="1001"/>
      <c r="SVF38" s="1001"/>
      <c r="SVG38" s="1001"/>
      <c r="SVH38" s="1001"/>
      <c r="SVI38" s="1001"/>
      <c r="SVJ38" s="1001"/>
      <c r="SVK38" s="1001"/>
      <c r="SVL38" s="1001"/>
      <c r="SVM38" s="1001"/>
      <c r="SVN38" s="1001"/>
      <c r="SVO38" s="1001"/>
      <c r="SVP38" s="1001"/>
      <c r="SVQ38" s="1001"/>
      <c r="SVR38" s="1001"/>
      <c r="SVS38" s="1001"/>
      <c r="SVT38" s="1001"/>
      <c r="SVU38" s="1001"/>
      <c r="SVV38" s="1001"/>
      <c r="SVW38" s="1001"/>
      <c r="SVX38" s="1001"/>
      <c r="SVY38" s="1001"/>
      <c r="SVZ38" s="1001"/>
      <c r="SWA38" s="1001"/>
      <c r="SWB38" s="1001"/>
      <c r="SWC38" s="1001"/>
      <c r="SWD38" s="1001"/>
      <c r="SWE38" s="1001"/>
      <c r="SWF38" s="1001"/>
      <c r="SWG38" s="1001"/>
      <c r="SWH38" s="1001"/>
      <c r="SWI38" s="1001"/>
      <c r="SWJ38" s="1001"/>
      <c r="SWK38" s="1001"/>
      <c r="SWL38" s="1001"/>
      <c r="SWM38" s="1001"/>
      <c r="SWN38" s="1001"/>
      <c r="SWO38" s="1001"/>
      <c r="SWP38" s="1001"/>
      <c r="SWQ38" s="1001"/>
      <c r="SWR38" s="1001"/>
      <c r="SWS38" s="1001"/>
      <c r="SWT38" s="1001"/>
      <c r="SWU38" s="1001"/>
      <c r="SWV38" s="1001"/>
      <c r="SWW38" s="1001"/>
      <c r="SWX38" s="1001"/>
      <c r="SWY38" s="1001"/>
      <c r="SWZ38" s="1001"/>
      <c r="SXA38" s="1001"/>
      <c r="SXB38" s="1001"/>
      <c r="SXC38" s="1001"/>
      <c r="SXD38" s="1001"/>
      <c r="SXE38" s="1001"/>
      <c r="SXF38" s="1001"/>
      <c r="SXG38" s="1001"/>
      <c r="SXH38" s="1001"/>
      <c r="SXI38" s="1001"/>
      <c r="SXJ38" s="1001"/>
      <c r="SXK38" s="1001"/>
      <c r="SXL38" s="1001"/>
      <c r="SXM38" s="1001"/>
      <c r="SXN38" s="1001"/>
      <c r="SXO38" s="1001"/>
      <c r="SXP38" s="1001"/>
      <c r="SXQ38" s="1001"/>
      <c r="SXR38" s="1001"/>
      <c r="SXS38" s="1001"/>
      <c r="SXT38" s="1001"/>
      <c r="SXU38" s="1001"/>
      <c r="SXV38" s="1001"/>
      <c r="SXW38" s="1001"/>
      <c r="SXX38" s="1001"/>
      <c r="SXY38" s="1001"/>
      <c r="SXZ38" s="1001"/>
      <c r="SYA38" s="1001"/>
      <c r="SYB38" s="1001"/>
      <c r="SYC38" s="1001"/>
      <c r="SYD38" s="1001"/>
      <c r="SYE38" s="1001"/>
      <c r="SYF38" s="1001"/>
      <c r="SYG38" s="1001"/>
      <c r="SYH38" s="1001"/>
      <c r="SYI38" s="1001"/>
      <c r="SYJ38" s="1001"/>
      <c r="SYK38" s="1001"/>
      <c r="SYL38" s="1001"/>
      <c r="SYM38" s="1001"/>
      <c r="SYN38" s="1001"/>
      <c r="SYO38" s="1001"/>
      <c r="SYP38" s="1001"/>
      <c r="SYQ38" s="1001"/>
      <c r="SYR38" s="1001"/>
      <c r="SYS38" s="1001"/>
      <c r="SYT38" s="1001"/>
      <c r="SYU38" s="1001"/>
      <c r="SYV38" s="1001"/>
      <c r="SYW38" s="1001"/>
      <c r="SYX38" s="1001"/>
      <c r="SYY38" s="1001"/>
      <c r="SYZ38" s="1001"/>
      <c r="SZA38" s="1001"/>
      <c r="SZB38" s="1001"/>
      <c r="SZC38" s="1001"/>
      <c r="SZD38" s="1001"/>
      <c r="SZE38" s="1001"/>
      <c r="SZF38" s="1001"/>
      <c r="SZG38" s="1001"/>
      <c r="SZH38" s="1001"/>
      <c r="SZI38" s="1001"/>
      <c r="SZJ38" s="1001"/>
      <c r="SZK38" s="1001"/>
      <c r="SZL38" s="1001"/>
      <c r="SZM38" s="1001"/>
      <c r="SZN38" s="1001"/>
      <c r="SZO38" s="1001"/>
      <c r="SZP38" s="1001"/>
      <c r="SZQ38" s="1001"/>
      <c r="SZR38" s="1001"/>
      <c r="SZS38" s="1001"/>
      <c r="SZT38" s="1001"/>
      <c r="SZU38" s="1001"/>
      <c r="SZV38" s="1001"/>
      <c r="SZW38" s="1001"/>
      <c r="SZX38" s="1001"/>
      <c r="SZY38" s="1001"/>
      <c r="SZZ38" s="1001"/>
      <c r="TAA38" s="1001"/>
      <c r="TAB38" s="1001"/>
      <c r="TAC38" s="1001"/>
      <c r="TAD38" s="1001"/>
      <c r="TAE38" s="1001"/>
      <c r="TAF38" s="1001"/>
      <c r="TAG38" s="1001"/>
      <c r="TAH38" s="1001"/>
      <c r="TAI38" s="1001"/>
      <c r="TAJ38" s="1001"/>
      <c r="TAK38" s="1001"/>
      <c r="TAL38" s="1001"/>
      <c r="TAM38" s="1001"/>
      <c r="TAN38" s="1001"/>
      <c r="TAO38" s="1001"/>
      <c r="TAP38" s="1001"/>
      <c r="TAQ38" s="1001"/>
      <c r="TAR38" s="1001"/>
      <c r="TAS38" s="1001"/>
      <c r="TAT38" s="1001"/>
      <c r="TAU38" s="1001"/>
      <c r="TAV38" s="1001"/>
      <c r="TAW38" s="1001"/>
      <c r="TAX38" s="1001"/>
      <c r="TAY38" s="1001"/>
      <c r="TAZ38" s="1001"/>
      <c r="TBA38" s="1001"/>
      <c r="TBB38" s="1001"/>
      <c r="TBC38" s="1001"/>
      <c r="TBD38" s="1001"/>
      <c r="TBE38" s="1001"/>
      <c r="TBF38" s="1001"/>
      <c r="TBG38" s="1001"/>
      <c r="TBH38" s="1001"/>
      <c r="TBI38" s="1001"/>
      <c r="TBJ38" s="1001"/>
      <c r="TBK38" s="1001"/>
      <c r="TBL38" s="1001"/>
      <c r="TBM38" s="1001"/>
      <c r="TBN38" s="1001"/>
      <c r="TBO38" s="1001"/>
      <c r="TBP38" s="1001"/>
      <c r="TBQ38" s="1001"/>
      <c r="TBR38" s="1001"/>
      <c r="TBS38" s="1001"/>
      <c r="TBT38" s="1001"/>
      <c r="TBU38" s="1001"/>
      <c r="TBV38" s="1001"/>
      <c r="TBW38" s="1001"/>
      <c r="TBX38" s="1001"/>
      <c r="TBY38" s="1001"/>
      <c r="TBZ38" s="1001"/>
      <c r="TCA38" s="1001"/>
      <c r="TCB38" s="1001"/>
      <c r="TCC38" s="1001"/>
      <c r="TCD38" s="1001"/>
      <c r="TCE38" s="1001"/>
      <c r="TCF38" s="1001"/>
      <c r="TCG38" s="1001"/>
      <c r="TCH38" s="1001"/>
      <c r="TCI38" s="1001"/>
      <c r="TCJ38" s="1001"/>
      <c r="TCK38" s="1001"/>
      <c r="TCL38" s="1001"/>
      <c r="TCM38" s="1001"/>
      <c r="TCN38" s="1001"/>
      <c r="TCO38" s="1001"/>
      <c r="TCP38" s="1001"/>
      <c r="TCQ38" s="1001"/>
      <c r="TCR38" s="1001"/>
      <c r="TCS38" s="1001"/>
      <c r="TCT38" s="1001"/>
      <c r="TCU38" s="1001"/>
      <c r="TCV38" s="1001"/>
      <c r="TCW38" s="1001"/>
      <c r="TCX38" s="1001"/>
      <c r="TCY38" s="1001"/>
      <c r="TCZ38" s="1001"/>
      <c r="TDA38" s="1001"/>
      <c r="TDB38" s="1001"/>
      <c r="TDC38" s="1001"/>
      <c r="TDD38" s="1001"/>
      <c r="TDE38" s="1001"/>
      <c r="TDF38" s="1001"/>
      <c r="TDG38" s="1001"/>
      <c r="TDH38" s="1001"/>
      <c r="TDI38" s="1001"/>
      <c r="TDJ38" s="1001"/>
      <c r="TDK38" s="1001"/>
      <c r="TDL38" s="1001"/>
      <c r="TDM38" s="1001"/>
      <c r="TDN38" s="1001"/>
      <c r="TDO38" s="1001"/>
      <c r="TDP38" s="1001"/>
      <c r="TDQ38" s="1001"/>
      <c r="TDR38" s="1001"/>
      <c r="TDS38" s="1001"/>
      <c r="TDT38" s="1001"/>
      <c r="TDU38" s="1001"/>
      <c r="TDV38" s="1001"/>
      <c r="TDW38" s="1001"/>
      <c r="TDX38" s="1001"/>
      <c r="TDY38" s="1001"/>
      <c r="TDZ38" s="1001"/>
      <c r="TEA38" s="1001"/>
      <c r="TEB38" s="1001"/>
      <c r="TEC38" s="1001"/>
      <c r="TED38" s="1001"/>
      <c r="TEE38" s="1001"/>
      <c r="TEF38" s="1001"/>
      <c r="TEG38" s="1001"/>
      <c r="TEH38" s="1001"/>
      <c r="TEI38" s="1001"/>
      <c r="TEJ38" s="1001"/>
      <c r="TEK38" s="1001"/>
      <c r="TEL38" s="1001"/>
      <c r="TEM38" s="1001"/>
      <c r="TEN38" s="1001"/>
      <c r="TEO38" s="1001"/>
      <c r="TEP38" s="1001"/>
      <c r="TEQ38" s="1001"/>
      <c r="TER38" s="1001"/>
      <c r="TES38" s="1001"/>
      <c r="TET38" s="1001"/>
      <c r="TEU38" s="1001"/>
      <c r="TEV38" s="1001"/>
      <c r="TEW38" s="1001"/>
      <c r="TEX38" s="1001"/>
      <c r="TEY38" s="1001"/>
      <c r="TEZ38" s="1001"/>
      <c r="TFA38" s="1001"/>
      <c r="TFB38" s="1001"/>
      <c r="TFC38" s="1001"/>
      <c r="TFD38" s="1001"/>
      <c r="TFE38" s="1001"/>
      <c r="TFF38" s="1001"/>
      <c r="TFG38" s="1001"/>
      <c r="TFH38" s="1001"/>
      <c r="TFI38" s="1001"/>
      <c r="TFJ38" s="1001"/>
      <c r="TFK38" s="1001"/>
      <c r="TFL38" s="1001"/>
      <c r="TFM38" s="1001"/>
      <c r="TFN38" s="1001"/>
      <c r="TFO38" s="1001"/>
      <c r="TFP38" s="1001"/>
      <c r="TFQ38" s="1001"/>
      <c r="TFR38" s="1001"/>
      <c r="TFS38" s="1001"/>
      <c r="TFT38" s="1001"/>
      <c r="TFU38" s="1001"/>
      <c r="TFV38" s="1001"/>
      <c r="TFW38" s="1001"/>
      <c r="TFX38" s="1001"/>
      <c r="TFY38" s="1001"/>
      <c r="TFZ38" s="1001"/>
      <c r="TGA38" s="1001"/>
      <c r="TGB38" s="1001"/>
      <c r="TGC38" s="1001"/>
      <c r="TGD38" s="1001"/>
      <c r="TGE38" s="1001"/>
      <c r="TGF38" s="1001"/>
      <c r="TGG38" s="1001"/>
      <c r="TGH38" s="1001"/>
      <c r="TGI38" s="1001"/>
      <c r="TGJ38" s="1001"/>
      <c r="TGK38" s="1001"/>
      <c r="TGL38" s="1001"/>
      <c r="TGM38" s="1001"/>
      <c r="TGN38" s="1001"/>
      <c r="TGO38" s="1001"/>
      <c r="TGP38" s="1001"/>
      <c r="TGQ38" s="1001"/>
      <c r="TGR38" s="1001"/>
      <c r="TGS38" s="1001"/>
      <c r="TGT38" s="1001"/>
      <c r="TGU38" s="1001"/>
      <c r="TGV38" s="1001"/>
      <c r="TGW38" s="1001"/>
      <c r="TGX38" s="1001"/>
      <c r="TGY38" s="1001"/>
      <c r="TGZ38" s="1001"/>
      <c r="THA38" s="1001"/>
      <c r="THB38" s="1001"/>
      <c r="THC38" s="1001"/>
      <c r="THD38" s="1001"/>
      <c r="THE38" s="1001"/>
      <c r="THF38" s="1001"/>
      <c r="THG38" s="1001"/>
      <c r="THH38" s="1001"/>
      <c r="THI38" s="1001"/>
      <c r="THJ38" s="1001"/>
      <c r="THK38" s="1001"/>
      <c r="THL38" s="1001"/>
      <c r="THM38" s="1001"/>
      <c r="THN38" s="1001"/>
      <c r="THO38" s="1001"/>
      <c r="THP38" s="1001"/>
      <c r="THQ38" s="1001"/>
      <c r="THR38" s="1001"/>
      <c r="THS38" s="1001"/>
      <c r="THT38" s="1001"/>
      <c r="THU38" s="1001"/>
      <c r="THV38" s="1001"/>
      <c r="THW38" s="1001"/>
      <c r="THX38" s="1001"/>
      <c r="THY38" s="1001"/>
      <c r="THZ38" s="1001"/>
      <c r="TIA38" s="1001"/>
      <c r="TIB38" s="1001"/>
      <c r="TIC38" s="1001"/>
      <c r="TID38" s="1001"/>
      <c r="TIE38" s="1001"/>
      <c r="TIF38" s="1001"/>
      <c r="TIG38" s="1001"/>
      <c r="TIH38" s="1001"/>
      <c r="TII38" s="1001"/>
      <c r="TIJ38" s="1001"/>
      <c r="TIK38" s="1001"/>
      <c r="TIL38" s="1001"/>
      <c r="TIM38" s="1001"/>
      <c r="TIN38" s="1001"/>
      <c r="TIO38" s="1001"/>
      <c r="TIP38" s="1001"/>
      <c r="TIQ38" s="1001"/>
      <c r="TIR38" s="1001"/>
      <c r="TIS38" s="1001"/>
      <c r="TIT38" s="1001"/>
      <c r="TIU38" s="1001"/>
      <c r="TIV38" s="1001"/>
      <c r="TIW38" s="1001"/>
      <c r="TIX38" s="1001"/>
      <c r="TIY38" s="1001"/>
      <c r="TIZ38" s="1001"/>
      <c r="TJA38" s="1001"/>
      <c r="TJB38" s="1001"/>
      <c r="TJC38" s="1001"/>
      <c r="TJD38" s="1001"/>
      <c r="TJE38" s="1001"/>
      <c r="TJF38" s="1001"/>
      <c r="TJG38" s="1001"/>
      <c r="TJH38" s="1001"/>
      <c r="TJI38" s="1001"/>
      <c r="TJJ38" s="1001"/>
      <c r="TJK38" s="1001"/>
      <c r="TJL38" s="1001"/>
      <c r="TJM38" s="1001"/>
      <c r="TJN38" s="1001"/>
      <c r="TJO38" s="1001"/>
      <c r="TJP38" s="1001"/>
      <c r="TJQ38" s="1001"/>
      <c r="TJR38" s="1001"/>
      <c r="TJS38" s="1001"/>
      <c r="TJT38" s="1001"/>
      <c r="TJU38" s="1001"/>
      <c r="TJV38" s="1001"/>
      <c r="TJW38" s="1001"/>
      <c r="TJX38" s="1001"/>
      <c r="TJY38" s="1001"/>
      <c r="TJZ38" s="1001"/>
      <c r="TKA38" s="1001"/>
      <c r="TKB38" s="1001"/>
      <c r="TKC38" s="1001"/>
      <c r="TKD38" s="1001"/>
      <c r="TKE38" s="1001"/>
      <c r="TKF38" s="1001"/>
      <c r="TKG38" s="1001"/>
      <c r="TKH38" s="1001"/>
      <c r="TKI38" s="1001"/>
      <c r="TKJ38" s="1001"/>
      <c r="TKK38" s="1001"/>
      <c r="TKL38" s="1001"/>
      <c r="TKM38" s="1001"/>
      <c r="TKN38" s="1001"/>
      <c r="TKO38" s="1001"/>
      <c r="TKP38" s="1001"/>
      <c r="TKQ38" s="1001"/>
      <c r="TKR38" s="1001"/>
      <c r="TKS38" s="1001"/>
      <c r="TKT38" s="1001"/>
      <c r="TKU38" s="1001"/>
      <c r="TKV38" s="1001"/>
      <c r="TKW38" s="1001"/>
      <c r="TKX38" s="1001"/>
      <c r="TKY38" s="1001"/>
      <c r="TKZ38" s="1001"/>
      <c r="TLA38" s="1001"/>
      <c r="TLB38" s="1001"/>
      <c r="TLC38" s="1001"/>
      <c r="TLD38" s="1001"/>
      <c r="TLE38" s="1001"/>
      <c r="TLF38" s="1001"/>
      <c r="TLG38" s="1001"/>
      <c r="TLH38" s="1001"/>
      <c r="TLI38" s="1001"/>
      <c r="TLJ38" s="1001"/>
      <c r="TLK38" s="1001"/>
      <c r="TLL38" s="1001"/>
      <c r="TLM38" s="1001"/>
      <c r="TLN38" s="1001"/>
      <c r="TLO38" s="1001"/>
      <c r="TLP38" s="1001"/>
      <c r="TLQ38" s="1001"/>
      <c r="TLR38" s="1001"/>
      <c r="TLS38" s="1001"/>
      <c r="TLT38" s="1001"/>
      <c r="TLU38" s="1001"/>
      <c r="TLV38" s="1001"/>
      <c r="TLW38" s="1001"/>
      <c r="TLX38" s="1001"/>
      <c r="TLY38" s="1001"/>
      <c r="TLZ38" s="1001"/>
      <c r="TMA38" s="1001"/>
      <c r="TMB38" s="1001"/>
      <c r="TMC38" s="1001"/>
      <c r="TMD38" s="1001"/>
      <c r="TME38" s="1001"/>
      <c r="TMF38" s="1001"/>
      <c r="TMG38" s="1001"/>
      <c r="TMH38" s="1001"/>
      <c r="TMI38" s="1001"/>
      <c r="TMJ38" s="1001"/>
      <c r="TMK38" s="1001"/>
      <c r="TML38" s="1001"/>
      <c r="TMM38" s="1001"/>
      <c r="TMN38" s="1001"/>
      <c r="TMO38" s="1001"/>
      <c r="TMP38" s="1001"/>
      <c r="TMQ38" s="1001"/>
      <c r="TMR38" s="1001"/>
      <c r="TMS38" s="1001"/>
      <c r="TMT38" s="1001"/>
      <c r="TMU38" s="1001"/>
      <c r="TMV38" s="1001"/>
      <c r="TMW38" s="1001"/>
      <c r="TMX38" s="1001"/>
      <c r="TMY38" s="1001"/>
      <c r="TMZ38" s="1001"/>
      <c r="TNA38" s="1001"/>
      <c r="TNB38" s="1001"/>
      <c r="TNC38" s="1001"/>
      <c r="TND38" s="1001"/>
      <c r="TNE38" s="1001"/>
      <c r="TNF38" s="1001"/>
      <c r="TNG38" s="1001"/>
      <c r="TNH38" s="1001"/>
      <c r="TNI38" s="1001"/>
      <c r="TNJ38" s="1001"/>
      <c r="TNK38" s="1001"/>
      <c r="TNL38" s="1001"/>
      <c r="TNM38" s="1001"/>
      <c r="TNN38" s="1001"/>
      <c r="TNO38" s="1001"/>
      <c r="TNP38" s="1001"/>
      <c r="TNQ38" s="1001"/>
      <c r="TNR38" s="1001"/>
      <c r="TNS38" s="1001"/>
      <c r="TNT38" s="1001"/>
      <c r="TNU38" s="1001"/>
      <c r="TNV38" s="1001"/>
      <c r="TNW38" s="1001"/>
      <c r="TNX38" s="1001"/>
      <c r="TNY38" s="1001"/>
      <c r="TNZ38" s="1001"/>
      <c r="TOA38" s="1001"/>
      <c r="TOB38" s="1001"/>
      <c r="TOC38" s="1001"/>
      <c r="TOD38" s="1001"/>
      <c r="TOE38" s="1001"/>
      <c r="TOF38" s="1001"/>
      <c r="TOG38" s="1001"/>
      <c r="TOH38" s="1001"/>
      <c r="TOI38" s="1001"/>
      <c r="TOJ38" s="1001"/>
      <c r="TOK38" s="1001"/>
      <c r="TOL38" s="1001"/>
      <c r="TOM38" s="1001"/>
      <c r="TON38" s="1001"/>
      <c r="TOO38" s="1001"/>
      <c r="TOP38" s="1001"/>
      <c r="TOQ38" s="1001"/>
      <c r="TOR38" s="1001"/>
      <c r="TOS38" s="1001"/>
      <c r="TOT38" s="1001"/>
      <c r="TOU38" s="1001"/>
      <c r="TOV38" s="1001"/>
      <c r="TOW38" s="1001"/>
      <c r="TOX38" s="1001"/>
      <c r="TOY38" s="1001"/>
      <c r="TOZ38" s="1001"/>
      <c r="TPA38" s="1001"/>
      <c r="TPB38" s="1001"/>
      <c r="TPC38" s="1001"/>
      <c r="TPD38" s="1001"/>
      <c r="TPE38" s="1001"/>
      <c r="TPF38" s="1001"/>
      <c r="TPG38" s="1001"/>
      <c r="TPH38" s="1001"/>
      <c r="TPI38" s="1001"/>
      <c r="TPJ38" s="1001"/>
      <c r="TPK38" s="1001"/>
      <c r="TPL38" s="1001"/>
      <c r="TPM38" s="1001"/>
      <c r="TPN38" s="1001"/>
      <c r="TPO38" s="1001"/>
      <c r="TPP38" s="1001"/>
      <c r="TPQ38" s="1001"/>
      <c r="TPR38" s="1001"/>
      <c r="TPS38" s="1001"/>
      <c r="TPT38" s="1001"/>
      <c r="TPU38" s="1001"/>
      <c r="TPV38" s="1001"/>
      <c r="TPW38" s="1001"/>
      <c r="TPX38" s="1001"/>
      <c r="TPY38" s="1001"/>
      <c r="TPZ38" s="1001"/>
      <c r="TQA38" s="1001"/>
      <c r="TQB38" s="1001"/>
      <c r="TQC38" s="1001"/>
      <c r="TQD38" s="1001"/>
      <c r="TQE38" s="1001"/>
      <c r="TQF38" s="1001"/>
      <c r="TQG38" s="1001"/>
      <c r="TQH38" s="1001"/>
      <c r="TQI38" s="1001"/>
      <c r="TQJ38" s="1001"/>
      <c r="TQK38" s="1001"/>
      <c r="TQL38" s="1001"/>
      <c r="TQM38" s="1001"/>
      <c r="TQN38" s="1001"/>
      <c r="TQO38" s="1001"/>
      <c r="TQP38" s="1001"/>
      <c r="TQQ38" s="1001"/>
      <c r="TQR38" s="1001"/>
      <c r="TQS38" s="1001"/>
      <c r="TQT38" s="1001"/>
      <c r="TQU38" s="1001"/>
      <c r="TQV38" s="1001"/>
      <c r="TQW38" s="1001"/>
      <c r="TQX38" s="1001"/>
      <c r="TQY38" s="1001"/>
      <c r="TQZ38" s="1001"/>
      <c r="TRA38" s="1001"/>
      <c r="TRB38" s="1001"/>
      <c r="TRC38" s="1001"/>
      <c r="TRD38" s="1001"/>
      <c r="TRE38" s="1001"/>
      <c r="TRF38" s="1001"/>
      <c r="TRG38" s="1001"/>
      <c r="TRH38" s="1001"/>
      <c r="TRI38" s="1001"/>
      <c r="TRJ38" s="1001"/>
      <c r="TRK38" s="1001"/>
      <c r="TRL38" s="1001"/>
      <c r="TRM38" s="1001"/>
      <c r="TRN38" s="1001"/>
      <c r="TRO38" s="1001"/>
      <c r="TRP38" s="1001"/>
      <c r="TRQ38" s="1001"/>
      <c r="TRR38" s="1001"/>
      <c r="TRS38" s="1001"/>
      <c r="TRT38" s="1001"/>
      <c r="TRU38" s="1001"/>
      <c r="TRV38" s="1001"/>
      <c r="TRW38" s="1001"/>
      <c r="TRX38" s="1001"/>
      <c r="TRY38" s="1001"/>
      <c r="TRZ38" s="1001"/>
      <c r="TSA38" s="1001"/>
      <c r="TSB38" s="1001"/>
      <c r="TSC38" s="1001"/>
      <c r="TSD38" s="1001"/>
      <c r="TSE38" s="1001"/>
      <c r="TSF38" s="1001"/>
      <c r="TSG38" s="1001"/>
      <c r="TSH38" s="1001"/>
      <c r="TSI38" s="1001"/>
      <c r="TSJ38" s="1001"/>
      <c r="TSK38" s="1001"/>
      <c r="TSL38" s="1001"/>
      <c r="TSM38" s="1001"/>
      <c r="TSN38" s="1001"/>
      <c r="TSO38" s="1001"/>
      <c r="TSP38" s="1001"/>
      <c r="TSQ38" s="1001"/>
      <c r="TSR38" s="1001"/>
      <c r="TSS38" s="1001"/>
      <c r="TST38" s="1001"/>
      <c r="TSU38" s="1001"/>
      <c r="TSV38" s="1001"/>
      <c r="TSW38" s="1001"/>
      <c r="TSX38" s="1001"/>
      <c r="TSY38" s="1001"/>
      <c r="TSZ38" s="1001"/>
      <c r="TTA38" s="1001"/>
      <c r="TTB38" s="1001"/>
      <c r="TTC38" s="1001"/>
      <c r="TTD38" s="1001"/>
      <c r="TTE38" s="1001"/>
      <c r="TTF38" s="1001"/>
      <c r="TTG38" s="1001"/>
      <c r="TTH38" s="1001"/>
      <c r="TTI38" s="1001"/>
      <c r="TTJ38" s="1001"/>
      <c r="TTK38" s="1001"/>
      <c r="TTL38" s="1001"/>
      <c r="TTM38" s="1001"/>
      <c r="TTN38" s="1001"/>
      <c r="TTO38" s="1001"/>
      <c r="TTP38" s="1001"/>
      <c r="TTQ38" s="1001"/>
      <c r="TTR38" s="1001"/>
      <c r="TTS38" s="1001"/>
      <c r="TTT38" s="1001"/>
      <c r="TTU38" s="1001"/>
      <c r="TTV38" s="1001"/>
      <c r="TTW38" s="1001"/>
      <c r="TTX38" s="1001"/>
      <c r="TTY38" s="1001"/>
      <c r="TTZ38" s="1001"/>
      <c r="TUA38" s="1001"/>
      <c r="TUB38" s="1001"/>
      <c r="TUC38" s="1001"/>
      <c r="TUD38" s="1001"/>
      <c r="TUE38" s="1001"/>
      <c r="TUF38" s="1001"/>
      <c r="TUG38" s="1001"/>
      <c r="TUH38" s="1001"/>
      <c r="TUI38" s="1001"/>
      <c r="TUJ38" s="1001"/>
      <c r="TUK38" s="1001"/>
      <c r="TUL38" s="1001"/>
      <c r="TUM38" s="1001"/>
      <c r="TUN38" s="1001"/>
      <c r="TUO38" s="1001"/>
      <c r="TUP38" s="1001"/>
      <c r="TUQ38" s="1001"/>
      <c r="TUR38" s="1001"/>
      <c r="TUS38" s="1001"/>
      <c r="TUT38" s="1001"/>
      <c r="TUU38" s="1001"/>
      <c r="TUV38" s="1001"/>
      <c r="TUW38" s="1001"/>
      <c r="TUX38" s="1001"/>
      <c r="TUY38" s="1001"/>
      <c r="TUZ38" s="1001"/>
      <c r="TVA38" s="1001"/>
      <c r="TVB38" s="1001"/>
      <c r="TVC38" s="1001"/>
      <c r="TVD38" s="1001"/>
      <c r="TVE38" s="1001"/>
      <c r="TVF38" s="1001"/>
      <c r="TVG38" s="1001"/>
      <c r="TVH38" s="1001"/>
      <c r="TVI38" s="1001"/>
      <c r="TVJ38" s="1001"/>
      <c r="TVK38" s="1001"/>
      <c r="TVL38" s="1001"/>
      <c r="TVM38" s="1001"/>
      <c r="TVN38" s="1001"/>
      <c r="TVO38" s="1001"/>
      <c r="TVP38" s="1001"/>
      <c r="TVQ38" s="1001"/>
      <c r="TVR38" s="1001"/>
      <c r="TVS38" s="1001"/>
      <c r="TVT38" s="1001"/>
      <c r="TVU38" s="1001"/>
      <c r="TVV38" s="1001"/>
      <c r="TVW38" s="1001"/>
      <c r="TVX38" s="1001"/>
      <c r="TVY38" s="1001"/>
      <c r="TVZ38" s="1001"/>
      <c r="TWA38" s="1001"/>
      <c r="TWB38" s="1001"/>
      <c r="TWC38" s="1001"/>
      <c r="TWD38" s="1001"/>
      <c r="TWE38" s="1001"/>
      <c r="TWF38" s="1001"/>
      <c r="TWG38" s="1001"/>
      <c r="TWH38" s="1001"/>
      <c r="TWI38" s="1001"/>
      <c r="TWJ38" s="1001"/>
      <c r="TWK38" s="1001"/>
      <c r="TWL38" s="1001"/>
      <c r="TWM38" s="1001"/>
      <c r="TWN38" s="1001"/>
      <c r="TWO38" s="1001"/>
      <c r="TWP38" s="1001"/>
      <c r="TWQ38" s="1001"/>
      <c r="TWR38" s="1001"/>
      <c r="TWS38" s="1001"/>
      <c r="TWT38" s="1001"/>
      <c r="TWU38" s="1001"/>
      <c r="TWV38" s="1001"/>
      <c r="TWW38" s="1001"/>
      <c r="TWX38" s="1001"/>
      <c r="TWY38" s="1001"/>
      <c r="TWZ38" s="1001"/>
      <c r="TXA38" s="1001"/>
      <c r="TXB38" s="1001"/>
      <c r="TXC38" s="1001"/>
      <c r="TXD38" s="1001"/>
      <c r="TXE38" s="1001"/>
      <c r="TXF38" s="1001"/>
      <c r="TXG38" s="1001"/>
      <c r="TXH38" s="1001"/>
      <c r="TXI38" s="1001"/>
      <c r="TXJ38" s="1001"/>
      <c r="TXK38" s="1001"/>
      <c r="TXL38" s="1001"/>
      <c r="TXM38" s="1001"/>
      <c r="TXN38" s="1001"/>
      <c r="TXO38" s="1001"/>
      <c r="TXP38" s="1001"/>
      <c r="TXQ38" s="1001"/>
      <c r="TXR38" s="1001"/>
      <c r="TXS38" s="1001"/>
      <c r="TXT38" s="1001"/>
      <c r="TXU38" s="1001"/>
      <c r="TXV38" s="1001"/>
      <c r="TXW38" s="1001"/>
      <c r="TXX38" s="1001"/>
      <c r="TXY38" s="1001"/>
      <c r="TXZ38" s="1001"/>
      <c r="TYA38" s="1001"/>
      <c r="TYB38" s="1001"/>
      <c r="TYC38" s="1001"/>
      <c r="TYD38" s="1001"/>
      <c r="TYE38" s="1001"/>
      <c r="TYF38" s="1001"/>
      <c r="TYG38" s="1001"/>
      <c r="TYH38" s="1001"/>
      <c r="TYI38" s="1001"/>
      <c r="TYJ38" s="1001"/>
      <c r="TYK38" s="1001"/>
      <c r="TYL38" s="1001"/>
      <c r="TYM38" s="1001"/>
      <c r="TYN38" s="1001"/>
      <c r="TYO38" s="1001"/>
      <c r="TYP38" s="1001"/>
      <c r="TYQ38" s="1001"/>
      <c r="TYR38" s="1001"/>
      <c r="TYS38" s="1001"/>
      <c r="TYT38" s="1001"/>
      <c r="TYU38" s="1001"/>
      <c r="TYV38" s="1001"/>
      <c r="TYW38" s="1001"/>
      <c r="TYX38" s="1001"/>
      <c r="TYY38" s="1001"/>
      <c r="TYZ38" s="1001"/>
      <c r="TZA38" s="1001"/>
      <c r="TZB38" s="1001"/>
      <c r="TZC38" s="1001"/>
      <c r="TZD38" s="1001"/>
      <c r="TZE38" s="1001"/>
      <c r="TZF38" s="1001"/>
      <c r="TZG38" s="1001"/>
      <c r="TZH38" s="1001"/>
      <c r="TZI38" s="1001"/>
      <c r="TZJ38" s="1001"/>
      <c r="TZK38" s="1001"/>
      <c r="TZL38" s="1001"/>
      <c r="TZM38" s="1001"/>
      <c r="TZN38" s="1001"/>
      <c r="TZO38" s="1001"/>
      <c r="TZP38" s="1001"/>
      <c r="TZQ38" s="1001"/>
      <c r="TZR38" s="1001"/>
      <c r="TZS38" s="1001"/>
      <c r="TZT38" s="1001"/>
      <c r="TZU38" s="1001"/>
      <c r="TZV38" s="1001"/>
      <c r="TZW38" s="1001"/>
      <c r="TZX38" s="1001"/>
      <c r="TZY38" s="1001"/>
      <c r="TZZ38" s="1001"/>
      <c r="UAA38" s="1001"/>
      <c r="UAB38" s="1001"/>
      <c r="UAC38" s="1001"/>
      <c r="UAD38" s="1001"/>
      <c r="UAE38" s="1001"/>
      <c r="UAF38" s="1001"/>
      <c r="UAG38" s="1001"/>
      <c r="UAH38" s="1001"/>
      <c r="UAI38" s="1001"/>
      <c r="UAJ38" s="1001"/>
      <c r="UAK38" s="1001"/>
      <c r="UAL38" s="1001"/>
      <c r="UAM38" s="1001"/>
      <c r="UAN38" s="1001"/>
      <c r="UAO38" s="1001"/>
      <c r="UAP38" s="1001"/>
      <c r="UAQ38" s="1001"/>
      <c r="UAR38" s="1001"/>
      <c r="UAS38" s="1001"/>
      <c r="UAT38" s="1001"/>
      <c r="UAU38" s="1001"/>
      <c r="UAV38" s="1001"/>
      <c r="UAW38" s="1001"/>
      <c r="UAX38" s="1001"/>
      <c r="UAY38" s="1001"/>
      <c r="UAZ38" s="1001"/>
      <c r="UBA38" s="1001"/>
      <c r="UBB38" s="1001"/>
      <c r="UBC38" s="1001"/>
      <c r="UBD38" s="1001"/>
      <c r="UBE38" s="1001"/>
      <c r="UBF38" s="1001"/>
      <c r="UBG38" s="1001"/>
      <c r="UBH38" s="1001"/>
      <c r="UBI38" s="1001"/>
      <c r="UBJ38" s="1001"/>
      <c r="UBK38" s="1001"/>
      <c r="UBL38" s="1001"/>
      <c r="UBM38" s="1001"/>
      <c r="UBN38" s="1001"/>
      <c r="UBO38" s="1001"/>
      <c r="UBP38" s="1001"/>
      <c r="UBQ38" s="1001"/>
      <c r="UBR38" s="1001"/>
      <c r="UBS38" s="1001"/>
      <c r="UBT38" s="1001"/>
      <c r="UBU38" s="1001"/>
      <c r="UBV38" s="1001"/>
      <c r="UBW38" s="1001"/>
      <c r="UBX38" s="1001"/>
      <c r="UBY38" s="1001"/>
      <c r="UBZ38" s="1001"/>
      <c r="UCA38" s="1001"/>
      <c r="UCB38" s="1001"/>
      <c r="UCC38" s="1001"/>
      <c r="UCD38" s="1001"/>
      <c r="UCE38" s="1001"/>
      <c r="UCF38" s="1001"/>
      <c r="UCG38" s="1001"/>
      <c r="UCH38" s="1001"/>
      <c r="UCI38" s="1001"/>
      <c r="UCJ38" s="1001"/>
      <c r="UCK38" s="1001"/>
      <c r="UCL38" s="1001"/>
      <c r="UCM38" s="1001"/>
      <c r="UCN38" s="1001"/>
      <c r="UCO38" s="1001"/>
      <c r="UCP38" s="1001"/>
      <c r="UCQ38" s="1001"/>
      <c r="UCR38" s="1001"/>
      <c r="UCS38" s="1001"/>
      <c r="UCT38" s="1001"/>
      <c r="UCU38" s="1001"/>
      <c r="UCV38" s="1001"/>
      <c r="UCW38" s="1001"/>
      <c r="UCX38" s="1001"/>
      <c r="UCY38" s="1001"/>
      <c r="UCZ38" s="1001"/>
      <c r="UDA38" s="1001"/>
      <c r="UDB38" s="1001"/>
      <c r="UDC38" s="1001"/>
      <c r="UDD38" s="1001"/>
      <c r="UDE38" s="1001"/>
      <c r="UDF38" s="1001"/>
      <c r="UDG38" s="1001"/>
      <c r="UDH38" s="1001"/>
      <c r="UDI38" s="1001"/>
      <c r="UDJ38" s="1001"/>
      <c r="UDK38" s="1001"/>
      <c r="UDL38" s="1001"/>
      <c r="UDM38" s="1001"/>
      <c r="UDN38" s="1001"/>
      <c r="UDO38" s="1001"/>
      <c r="UDP38" s="1001"/>
      <c r="UDQ38" s="1001"/>
      <c r="UDR38" s="1001"/>
      <c r="UDS38" s="1001"/>
      <c r="UDT38" s="1001"/>
      <c r="UDU38" s="1001"/>
      <c r="UDV38" s="1001"/>
      <c r="UDW38" s="1001"/>
      <c r="UDX38" s="1001"/>
      <c r="UDY38" s="1001"/>
      <c r="UDZ38" s="1001"/>
      <c r="UEA38" s="1001"/>
      <c r="UEB38" s="1001"/>
      <c r="UEC38" s="1001"/>
      <c r="UED38" s="1001"/>
      <c r="UEE38" s="1001"/>
      <c r="UEF38" s="1001"/>
      <c r="UEG38" s="1001"/>
      <c r="UEH38" s="1001"/>
      <c r="UEI38" s="1001"/>
      <c r="UEJ38" s="1001"/>
      <c r="UEK38" s="1001"/>
      <c r="UEL38" s="1001"/>
      <c r="UEM38" s="1001"/>
      <c r="UEN38" s="1001"/>
      <c r="UEO38" s="1001"/>
      <c r="UEP38" s="1001"/>
      <c r="UEQ38" s="1001"/>
      <c r="UER38" s="1001"/>
      <c r="UES38" s="1001"/>
      <c r="UET38" s="1001"/>
      <c r="UEU38" s="1001"/>
      <c r="UEV38" s="1001"/>
      <c r="UEW38" s="1001"/>
      <c r="UEX38" s="1001"/>
      <c r="UEY38" s="1001"/>
      <c r="UEZ38" s="1001"/>
      <c r="UFA38" s="1001"/>
      <c r="UFB38" s="1001"/>
      <c r="UFC38" s="1001"/>
      <c r="UFD38" s="1001"/>
      <c r="UFE38" s="1001"/>
      <c r="UFF38" s="1001"/>
      <c r="UFG38" s="1001"/>
      <c r="UFH38" s="1001"/>
      <c r="UFI38" s="1001"/>
      <c r="UFJ38" s="1001"/>
      <c r="UFK38" s="1001"/>
      <c r="UFL38" s="1001"/>
      <c r="UFM38" s="1001"/>
      <c r="UFN38" s="1001"/>
      <c r="UFO38" s="1001"/>
      <c r="UFP38" s="1001"/>
      <c r="UFQ38" s="1001"/>
      <c r="UFR38" s="1001"/>
      <c r="UFS38" s="1001"/>
      <c r="UFT38" s="1001"/>
      <c r="UFU38" s="1001"/>
      <c r="UFV38" s="1001"/>
      <c r="UFW38" s="1001"/>
      <c r="UFX38" s="1001"/>
      <c r="UFY38" s="1001"/>
      <c r="UFZ38" s="1001"/>
      <c r="UGA38" s="1001"/>
      <c r="UGB38" s="1001"/>
      <c r="UGC38" s="1001"/>
      <c r="UGD38" s="1001"/>
      <c r="UGE38" s="1001"/>
      <c r="UGF38" s="1001"/>
      <c r="UGG38" s="1001"/>
      <c r="UGH38" s="1001"/>
      <c r="UGI38" s="1001"/>
      <c r="UGJ38" s="1001"/>
      <c r="UGK38" s="1001"/>
      <c r="UGL38" s="1001"/>
      <c r="UGM38" s="1001"/>
      <c r="UGN38" s="1001"/>
      <c r="UGO38" s="1001"/>
      <c r="UGP38" s="1001"/>
      <c r="UGQ38" s="1001"/>
      <c r="UGR38" s="1001"/>
      <c r="UGS38" s="1001"/>
      <c r="UGT38" s="1001"/>
      <c r="UGU38" s="1001"/>
      <c r="UGV38" s="1001"/>
      <c r="UGW38" s="1001"/>
      <c r="UGX38" s="1001"/>
      <c r="UGY38" s="1001"/>
      <c r="UGZ38" s="1001"/>
      <c r="UHA38" s="1001"/>
      <c r="UHB38" s="1001"/>
      <c r="UHC38" s="1001"/>
      <c r="UHD38" s="1001"/>
      <c r="UHE38" s="1001"/>
      <c r="UHF38" s="1001"/>
      <c r="UHG38" s="1001"/>
      <c r="UHH38" s="1001"/>
      <c r="UHI38" s="1001"/>
      <c r="UHJ38" s="1001"/>
      <c r="UHK38" s="1001"/>
      <c r="UHL38" s="1001"/>
      <c r="UHM38" s="1001"/>
      <c r="UHN38" s="1001"/>
      <c r="UHO38" s="1001"/>
      <c r="UHP38" s="1001"/>
      <c r="UHQ38" s="1001"/>
      <c r="UHR38" s="1001"/>
      <c r="UHS38" s="1001"/>
      <c r="UHT38" s="1001"/>
      <c r="UHU38" s="1001"/>
      <c r="UHV38" s="1001"/>
      <c r="UHW38" s="1001"/>
      <c r="UHX38" s="1001"/>
      <c r="UHY38" s="1001"/>
      <c r="UHZ38" s="1001"/>
      <c r="UIA38" s="1001"/>
      <c r="UIB38" s="1001"/>
      <c r="UIC38" s="1001"/>
      <c r="UID38" s="1001"/>
      <c r="UIE38" s="1001"/>
      <c r="UIF38" s="1001"/>
      <c r="UIG38" s="1001"/>
      <c r="UIH38" s="1001"/>
      <c r="UII38" s="1001"/>
      <c r="UIJ38" s="1001"/>
      <c r="UIK38" s="1001"/>
      <c r="UIL38" s="1001"/>
      <c r="UIM38" s="1001"/>
      <c r="UIN38" s="1001"/>
      <c r="UIO38" s="1001"/>
      <c r="UIP38" s="1001"/>
      <c r="UIQ38" s="1001"/>
      <c r="UIR38" s="1001"/>
      <c r="UIS38" s="1001"/>
      <c r="UIT38" s="1001"/>
      <c r="UIU38" s="1001"/>
      <c r="UIV38" s="1001"/>
      <c r="UIW38" s="1001"/>
      <c r="UIX38" s="1001"/>
      <c r="UIY38" s="1001"/>
      <c r="UIZ38" s="1001"/>
      <c r="UJA38" s="1001"/>
      <c r="UJB38" s="1001"/>
      <c r="UJC38" s="1001"/>
      <c r="UJD38" s="1001"/>
      <c r="UJE38" s="1001"/>
      <c r="UJF38" s="1001"/>
      <c r="UJG38" s="1001"/>
      <c r="UJH38" s="1001"/>
      <c r="UJI38" s="1001"/>
      <c r="UJJ38" s="1001"/>
      <c r="UJK38" s="1001"/>
      <c r="UJL38" s="1001"/>
      <c r="UJM38" s="1001"/>
      <c r="UJN38" s="1001"/>
      <c r="UJO38" s="1001"/>
      <c r="UJP38" s="1001"/>
      <c r="UJQ38" s="1001"/>
      <c r="UJR38" s="1001"/>
      <c r="UJS38" s="1001"/>
      <c r="UJT38" s="1001"/>
      <c r="UJU38" s="1001"/>
      <c r="UJV38" s="1001"/>
      <c r="UJW38" s="1001"/>
      <c r="UJX38" s="1001"/>
      <c r="UJY38" s="1001"/>
      <c r="UJZ38" s="1001"/>
      <c r="UKA38" s="1001"/>
      <c r="UKB38" s="1001"/>
      <c r="UKC38" s="1001"/>
      <c r="UKD38" s="1001"/>
      <c r="UKE38" s="1001"/>
      <c r="UKF38" s="1001"/>
      <c r="UKG38" s="1001"/>
      <c r="UKH38" s="1001"/>
      <c r="UKI38" s="1001"/>
      <c r="UKJ38" s="1001"/>
      <c r="UKK38" s="1001"/>
      <c r="UKL38" s="1001"/>
      <c r="UKM38" s="1001"/>
      <c r="UKN38" s="1001"/>
      <c r="UKO38" s="1001"/>
      <c r="UKP38" s="1001"/>
      <c r="UKQ38" s="1001"/>
      <c r="UKR38" s="1001"/>
      <c r="UKS38" s="1001"/>
      <c r="UKT38" s="1001"/>
      <c r="UKU38" s="1001"/>
      <c r="UKV38" s="1001"/>
      <c r="UKW38" s="1001"/>
      <c r="UKX38" s="1001"/>
      <c r="UKY38" s="1001"/>
      <c r="UKZ38" s="1001"/>
      <c r="ULA38" s="1001"/>
      <c r="ULB38" s="1001"/>
      <c r="ULC38" s="1001"/>
      <c r="ULD38" s="1001"/>
      <c r="ULE38" s="1001"/>
      <c r="ULF38" s="1001"/>
      <c r="ULG38" s="1001"/>
      <c r="ULH38" s="1001"/>
      <c r="ULI38" s="1001"/>
      <c r="ULJ38" s="1001"/>
      <c r="ULK38" s="1001"/>
      <c r="ULL38" s="1001"/>
      <c r="ULM38" s="1001"/>
      <c r="ULN38" s="1001"/>
      <c r="ULO38" s="1001"/>
      <c r="ULP38" s="1001"/>
      <c r="ULQ38" s="1001"/>
      <c r="ULR38" s="1001"/>
      <c r="ULS38" s="1001"/>
      <c r="ULT38" s="1001"/>
      <c r="ULU38" s="1001"/>
      <c r="ULV38" s="1001"/>
      <c r="ULW38" s="1001"/>
      <c r="ULX38" s="1001"/>
      <c r="ULY38" s="1001"/>
      <c r="ULZ38" s="1001"/>
      <c r="UMA38" s="1001"/>
      <c r="UMB38" s="1001"/>
      <c r="UMC38" s="1001"/>
      <c r="UMD38" s="1001"/>
      <c r="UME38" s="1001"/>
      <c r="UMF38" s="1001"/>
      <c r="UMG38" s="1001"/>
      <c r="UMH38" s="1001"/>
      <c r="UMI38" s="1001"/>
      <c r="UMJ38" s="1001"/>
      <c r="UMK38" s="1001"/>
      <c r="UML38" s="1001"/>
      <c r="UMM38" s="1001"/>
      <c r="UMN38" s="1001"/>
      <c r="UMO38" s="1001"/>
      <c r="UMP38" s="1001"/>
      <c r="UMQ38" s="1001"/>
      <c r="UMR38" s="1001"/>
      <c r="UMS38" s="1001"/>
      <c r="UMT38" s="1001"/>
      <c r="UMU38" s="1001"/>
      <c r="UMV38" s="1001"/>
      <c r="UMW38" s="1001"/>
      <c r="UMX38" s="1001"/>
      <c r="UMY38" s="1001"/>
      <c r="UMZ38" s="1001"/>
      <c r="UNA38" s="1001"/>
      <c r="UNB38" s="1001"/>
      <c r="UNC38" s="1001"/>
      <c r="UND38" s="1001"/>
      <c r="UNE38" s="1001"/>
      <c r="UNF38" s="1001"/>
      <c r="UNG38" s="1001"/>
      <c r="UNH38" s="1001"/>
      <c r="UNI38" s="1001"/>
      <c r="UNJ38" s="1001"/>
      <c r="UNK38" s="1001"/>
      <c r="UNL38" s="1001"/>
      <c r="UNM38" s="1001"/>
      <c r="UNN38" s="1001"/>
      <c r="UNO38" s="1001"/>
      <c r="UNP38" s="1001"/>
      <c r="UNQ38" s="1001"/>
      <c r="UNR38" s="1001"/>
      <c r="UNS38" s="1001"/>
      <c r="UNT38" s="1001"/>
      <c r="UNU38" s="1001"/>
      <c r="UNV38" s="1001"/>
      <c r="UNW38" s="1001"/>
      <c r="UNX38" s="1001"/>
      <c r="UNY38" s="1001"/>
      <c r="UNZ38" s="1001"/>
      <c r="UOA38" s="1001"/>
      <c r="UOB38" s="1001"/>
      <c r="UOC38" s="1001"/>
      <c r="UOD38" s="1001"/>
      <c r="UOE38" s="1001"/>
      <c r="UOF38" s="1001"/>
      <c r="UOG38" s="1001"/>
      <c r="UOH38" s="1001"/>
      <c r="UOI38" s="1001"/>
      <c r="UOJ38" s="1001"/>
      <c r="UOK38" s="1001"/>
      <c r="UOL38" s="1001"/>
      <c r="UOM38" s="1001"/>
      <c r="UON38" s="1001"/>
      <c r="UOO38" s="1001"/>
      <c r="UOP38" s="1001"/>
      <c r="UOQ38" s="1001"/>
      <c r="UOR38" s="1001"/>
      <c r="UOS38" s="1001"/>
      <c r="UOT38" s="1001"/>
      <c r="UOU38" s="1001"/>
      <c r="UOV38" s="1001"/>
      <c r="UOW38" s="1001"/>
      <c r="UOX38" s="1001"/>
      <c r="UOY38" s="1001"/>
      <c r="UOZ38" s="1001"/>
      <c r="UPA38" s="1001"/>
      <c r="UPB38" s="1001"/>
      <c r="UPC38" s="1001"/>
      <c r="UPD38" s="1001"/>
      <c r="UPE38" s="1001"/>
      <c r="UPF38" s="1001"/>
      <c r="UPG38" s="1001"/>
      <c r="UPH38" s="1001"/>
      <c r="UPI38" s="1001"/>
      <c r="UPJ38" s="1001"/>
      <c r="UPK38" s="1001"/>
      <c r="UPL38" s="1001"/>
      <c r="UPM38" s="1001"/>
      <c r="UPN38" s="1001"/>
      <c r="UPO38" s="1001"/>
      <c r="UPP38" s="1001"/>
      <c r="UPQ38" s="1001"/>
      <c r="UPR38" s="1001"/>
      <c r="UPS38" s="1001"/>
      <c r="UPT38" s="1001"/>
      <c r="UPU38" s="1001"/>
      <c r="UPV38" s="1001"/>
      <c r="UPW38" s="1001"/>
      <c r="UPX38" s="1001"/>
      <c r="UPY38" s="1001"/>
      <c r="UPZ38" s="1001"/>
      <c r="UQA38" s="1001"/>
      <c r="UQB38" s="1001"/>
      <c r="UQC38" s="1001"/>
      <c r="UQD38" s="1001"/>
      <c r="UQE38" s="1001"/>
      <c r="UQF38" s="1001"/>
      <c r="UQG38" s="1001"/>
      <c r="UQH38" s="1001"/>
      <c r="UQI38" s="1001"/>
      <c r="UQJ38" s="1001"/>
      <c r="UQK38" s="1001"/>
      <c r="UQL38" s="1001"/>
      <c r="UQM38" s="1001"/>
      <c r="UQN38" s="1001"/>
      <c r="UQO38" s="1001"/>
      <c r="UQP38" s="1001"/>
      <c r="UQQ38" s="1001"/>
      <c r="UQR38" s="1001"/>
      <c r="UQS38" s="1001"/>
      <c r="UQT38" s="1001"/>
      <c r="UQU38" s="1001"/>
      <c r="UQV38" s="1001"/>
      <c r="UQW38" s="1001"/>
      <c r="UQX38" s="1001"/>
      <c r="UQY38" s="1001"/>
      <c r="UQZ38" s="1001"/>
      <c r="URA38" s="1001"/>
      <c r="URB38" s="1001"/>
      <c r="URC38" s="1001"/>
      <c r="URD38" s="1001"/>
      <c r="URE38" s="1001"/>
      <c r="URF38" s="1001"/>
      <c r="URG38" s="1001"/>
      <c r="URH38" s="1001"/>
      <c r="URI38" s="1001"/>
      <c r="URJ38" s="1001"/>
      <c r="URK38" s="1001"/>
      <c r="URL38" s="1001"/>
      <c r="URM38" s="1001"/>
      <c r="URN38" s="1001"/>
      <c r="URO38" s="1001"/>
      <c r="URP38" s="1001"/>
      <c r="URQ38" s="1001"/>
      <c r="URR38" s="1001"/>
      <c r="URS38" s="1001"/>
      <c r="URT38" s="1001"/>
      <c r="URU38" s="1001"/>
      <c r="URV38" s="1001"/>
      <c r="URW38" s="1001"/>
      <c r="URX38" s="1001"/>
      <c r="URY38" s="1001"/>
      <c r="URZ38" s="1001"/>
      <c r="USA38" s="1001"/>
      <c r="USB38" s="1001"/>
      <c r="USC38" s="1001"/>
      <c r="USD38" s="1001"/>
      <c r="USE38" s="1001"/>
      <c r="USF38" s="1001"/>
      <c r="USG38" s="1001"/>
      <c r="USH38" s="1001"/>
      <c r="USI38" s="1001"/>
      <c r="USJ38" s="1001"/>
      <c r="USK38" s="1001"/>
      <c r="USL38" s="1001"/>
      <c r="USM38" s="1001"/>
      <c r="USN38" s="1001"/>
      <c r="USO38" s="1001"/>
      <c r="USP38" s="1001"/>
      <c r="USQ38" s="1001"/>
      <c r="USR38" s="1001"/>
      <c r="USS38" s="1001"/>
      <c r="UST38" s="1001"/>
      <c r="USU38" s="1001"/>
      <c r="USV38" s="1001"/>
      <c r="USW38" s="1001"/>
      <c r="USX38" s="1001"/>
      <c r="USY38" s="1001"/>
      <c r="USZ38" s="1001"/>
      <c r="UTA38" s="1001"/>
      <c r="UTB38" s="1001"/>
      <c r="UTC38" s="1001"/>
      <c r="UTD38" s="1001"/>
      <c r="UTE38" s="1001"/>
      <c r="UTF38" s="1001"/>
      <c r="UTG38" s="1001"/>
      <c r="UTH38" s="1001"/>
      <c r="UTI38" s="1001"/>
      <c r="UTJ38" s="1001"/>
      <c r="UTK38" s="1001"/>
      <c r="UTL38" s="1001"/>
      <c r="UTM38" s="1001"/>
      <c r="UTN38" s="1001"/>
      <c r="UTO38" s="1001"/>
      <c r="UTP38" s="1001"/>
      <c r="UTQ38" s="1001"/>
      <c r="UTR38" s="1001"/>
      <c r="UTS38" s="1001"/>
      <c r="UTT38" s="1001"/>
      <c r="UTU38" s="1001"/>
      <c r="UTV38" s="1001"/>
      <c r="UTW38" s="1001"/>
      <c r="UTX38" s="1001"/>
      <c r="UTY38" s="1001"/>
      <c r="UTZ38" s="1001"/>
      <c r="UUA38" s="1001"/>
      <c r="UUB38" s="1001"/>
      <c r="UUC38" s="1001"/>
      <c r="UUD38" s="1001"/>
      <c r="UUE38" s="1001"/>
      <c r="UUF38" s="1001"/>
      <c r="UUG38" s="1001"/>
      <c r="UUH38" s="1001"/>
      <c r="UUI38" s="1001"/>
      <c r="UUJ38" s="1001"/>
      <c r="UUK38" s="1001"/>
      <c r="UUL38" s="1001"/>
      <c r="UUM38" s="1001"/>
      <c r="UUN38" s="1001"/>
      <c r="UUO38" s="1001"/>
      <c r="UUP38" s="1001"/>
      <c r="UUQ38" s="1001"/>
      <c r="UUR38" s="1001"/>
      <c r="UUS38" s="1001"/>
      <c r="UUT38" s="1001"/>
      <c r="UUU38" s="1001"/>
      <c r="UUV38" s="1001"/>
      <c r="UUW38" s="1001"/>
      <c r="UUX38" s="1001"/>
      <c r="UUY38" s="1001"/>
      <c r="UUZ38" s="1001"/>
      <c r="UVA38" s="1001"/>
      <c r="UVB38" s="1001"/>
      <c r="UVC38" s="1001"/>
      <c r="UVD38" s="1001"/>
      <c r="UVE38" s="1001"/>
      <c r="UVF38" s="1001"/>
      <c r="UVG38" s="1001"/>
      <c r="UVH38" s="1001"/>
      <c r="UVI38" s="1001"/>
      <c r="UVJ38" s="1001"/>
      <c r="UVK38" s="1001"/>
      <c r="UVL38" s="1001"/>
      <c r="UVM38" s="1001"/>
      <c r="UVN38" s="1001"/>
      <c r="UVO38" s="1001"/>
      <c r="UVP38" s="1001"/>
      <c r="UVQ38" s="1001"/>
      <c r="UVR38" s="1001"/>
      <c r="UVS38" s="1001"/>
      <c r="UVT38" s="1001"/>
      <c r="UVU38" s="1001"/>
      <c r="UVV38" s="1001"/>
      <c r="UVW38" s="1001"/>
      <c r="UVX38" s="1001"/>
      <c r="UVY38" s="1001"/>
      <c r="UVZ38" s="1001"/>
      <c r="UWA38" s="1001"/>
      <c r="UWB38" s="1001"/>
      <c r="UWC38" s="1001"/>
      <c r="UWD38" s="1001"/>
      <c r="UWE38" s="1001"/>
      <c r="UWF38" s="1001"/>
      <c r="UWG38" s="1001"/>
      <c r="UWH38" s="1001"/>
      <c r="UWI38" s="1001"/>
      <c r="UWJ38" s="1001"/>
      <c r="UWK38" s="1001"/>
      <c r="UWL38" s="1001"/>
      <c r="UWM38" s="1001"/>
      <c r="UWN38" s="1001"/>
      <c r="UWO38" s="1001"/>
      <c r="UWP38" s="1001"/>
      <c r="UWQ38" s="1001"/>
      <c r="UWR38" s="1001"/>
      <c r="UWS38" s="1001"/>
      <c r="UWT38" s="1001"/>
      <c r="UWU38" s="1001"/>
      <c r="UWV38" s="1001"/>
      <c r="UWW38" s="1001"/>
      <c r="UWX38" s="1001"/>
      <c r="UWY38" s="1001"/>
      <c r="UWZ38" s="1001"/>
      <c r="UXA38" s="1001"/>
      <c r="UXB38" s="1001"/>
      <c r="UXC38" s="1001"/>
      <c r="UXD38" s="1001"/>
      <c r="UXE38" s="1001"/>
      <c r="UXF38" s="1001"/>
      <c r="UXG38" s="1001"/>
      <c r="UXH38" s="1001"/>
      <c r="UXI38" s="1001"/>
      <c r="UXJ38" s="1001"/>
      <c r="UXK38" s="1001"/>
      <c r="UXL38" s="1001"/>
      <c r="UXM38" s="1001"/>
      <c r="UXN38" s="1001"/>
      <c r="UXO38" s="1001"/>
      <c r="UXP38" s="1001"/>
      <c r="UXQ38" s="1001"/>
      <c r="UXR38" s="1001"/>
      <c r="UXS38" s="1001"/>
      <c r="UXT38" s="1001"/>
      <c r="UXU38" s="1001"/>
      <c r="UXV38" s="1001"/>
      <c r="UXW38" s="1001"/>
      <c r="UXX38" s="1001"/>
      <c r="UXY38" s="1001"/>
      <c r="UXZ38" s="1001"/>
      <c r="UYA38" s="1001"/>
      <c r="UYB38" s="1001"/>
      <c r="UYC38" s="1001"/>
      <c r="UYD38" s="1001"/>
      <c r="UYE38" s="1001"/>
      <c r="UYF38" s="1001"/>
      <c r="UYG38" s="1001"/>
      <c r="UYH38" s="1001"/>
      <c r="UYI38" s="1001"/>
      <c r="UYJ38" s="1001"/>
      <c r="UYK38" s="1001"/>
      <c r="UYL38" s="1001"/>
      <c r="UYM38" s="1001"/>
      <c r="UYN38" s="1001"/>
      <c r="UYO38" s="1001"/>
      <c r="UYP38" s="1001"/>
      <c r="UYQ38" s="1001"/>
      <c r="UYR38" s="1001"/>
      <c r="UYS38" s="1001"/>
      <c r="UYT38" s="1001"/>
      <c r="UYU38" s="1001"/>
      <c r="UYV38" s="1001"/>
      <c r="UYW38" s="1001"/>
      <c r="UYX38" s="1001"/>
      <c r="UYY38" s="1001"/>
      <c r="UYZ38" s="1001"/>
      <c r="UZA38" s="1001"/>
      <c r="UZB38" s="1001"/>
      <c r="UZC38" s="1001"/>
      <c r="UZD38" s="1001"/>
      <c r="UZE38" s="1001"/>
      <c r="UZF38" s="1001"/>
      <c r="UZG38" s="1001"/>
      <c r="UZH38" s="1001"/>
      <c r="UZI38" s="1001"/>
      <c r="UZJ38" s="1001"/>
      <c r="UZK38" s="1001"/>
      <c r="UZL38" s="1001"/>
      <c r="UZM38" s="1001"/>
      <c r="UZN38" s="1001"/>
      <c r="UZO38" s="1001"/>
      <c r="UZP38" s="1001"/>
      <c r="UZQ38" s="1001"/>
      <c r="UZR38" s="1001"/>
      <c r="UZS38" s="1001"/>
      <c r="UZT38" s="1001"/>
      <c r="UZU38" s="1001"/>
      <c r="UZV38" s="1001"/>
      <c r="UZW38" s="1001"/>
      <c r="UZX38" s="1001"/>
      <c r="UZY38" s="1001"/>
      <c r="UZZ38" s="1001"/>
      <c r="VAA38" s="1001"/>
      <c r="VAB38" s="1001"/>
      <c r="VAC38" s="1001"/>
      <c r="VAD38" s="1001"/>
      <c r="VAE38" s="1001"/>
      <c r="VAF38" s="1001"/>
      <c r="VAG38" s="1001"/>
      <c r="VAH38" s="1001"/>
      <c r="VAI38" s="1001"/>
      <c r="VAJ38" s="1001"/>
      <c r="VAK38" s="1001"/>
      <c r="VAL38" s="1001"/>
      <c r="VAM38" s="1001"/>
      <c r="VAN38" s="1001"/>
      <c r="VAO38" s="1001"/>
      <c r="VAP38" s="1001"/>
      <c r="VAQ38" s="1001"/>
      <c r="VAR38" s="1001"/>
      <c r="VAS38" s="1001"/>
      <c r="VAT38" s="1001"/>
      <c r="VAU38" s="1001"/>
      <c r="VAV38" s="1001"/>
      <c r="VAW38" s="1001"/>
      <c r="VAX38" s="1001"/>
      <c r="VAY38" s="1001"/>
      <c r="VAZ38" s="1001"/>
      <c r="VBA38" s="1001"/>
      <c r="VBB38" s="1001"/>
      <c r="VBC38" s="1001"/>
      <c r="VBD38" s="1001"/>
      <c r="VBE38" s="1001"/>
      <c r="VBF38" s="1001"/>
      <c r="VBG38" s="1001"/>
      <c r="VBH38" s="1001"/>
      <c r="VBI38" s="1001"/>
      <c r="VBJ38" s="1001"/>
      <c r="VBK38" s="1001"/>
      <c r="VBL38" s="1001"/>
      <c r="VBM38" s="1001"/>
      <c r="VBN38" s="1001"/>
      <c r="VBO38" s="1001"/>
      <c r="VBP38" s="1001"/>
      <c r="VBQ38" s="1001"/>
      <c r="VBR38" s="1001"/>
      <c r="VBS38" s="1001"/>
      <c r="VBT38" s="1001"/>
      <c r="VBU38" s="1001"/>
      <c r="VBV38" s="1001"/>
      <c r="VBW38" s="1001"/>
      <c r="VBX38" s="1001"/>
      <c r="VBY38" s="1001"/>
      <c r="VBZ38" s="1001"/>
      <c r="VCA38" s="1001"/>
      <c r="VCB38" s="1001"/>
      <c r="VCC38" s="1001"/>
      <c r="VCD38" s="1001"/>
      <c r="VCE38" s="1001"/>
      <c r="VCF38" s="1001"/>
      <c r="VCG38" s="1001"/>
      <c r="VCH38" s="1001"/>
      <c r="VCI38" s="1001"/>
      <c r="VCJ38" s="1001"/>
      <c r="VCK38" s="1001"/>
      <c r="VCL38" s="1001"/>
      <c r="VCM38" s="1001"/>
      <c r="VCN38" s="1001"/>
      <c r="VCO38" s="1001"/>
      <c r="VCP38" s="1001"/>
      <c r="VCQ38" s="1001"/>
      <c r="VCR38" s="1001"/>
      <c r="VCS38" s="1001"/>
      <c r="VCT38" s="1001"/>
      <c r="VCU38" s="1001"/>
      <c r="VCV38" s="1001"/>
      <c r="VCW38" s="1001"/>
      <c r="VCX38" s="1001"/>
      <c r="VCY38" s="1001"/>
      <c r="VCZ38" s="1001"/>
      <c r="VDA38" s="1001"/>
      <c r="VDB38" s="1001"/>
      <c r="VDC38" s="1001"/>
      <c r="VDD38" s="1001"/>
      <c r="VDE38" s="1001"/>
      <c r="VDF38" s="1001"/>
      <c r="VDG38" s="1001"/>
      <c r="VDH38" s="1001"/>
      <c r="VDI38" s="1001"/>
      <c r="VDJ38" s="1001"/>
      <c r="VDK38" s="1001"/>
      <c r="VDL38" s="1001"/>
      <c r="VDM38" s="1001"/>
      <c r="VDN38" s="1001"/>
      <c r="VDO38" s="1001"/>
      <c r="VDP38" s="1001"/>
      <c r="VDQ38" s="1001"/>
      <c r="VDR38" s="1001"/>
      <c r="VDS38" s="1001"/>
      <c r="VDT38" s="1001"/>
      <c r="VDU38" s="1001"/>
      <c r="VDV38" s="1001"/>
      <c r="VDW38" s="1001"/>
      <c r="VDX38" s="1001"/>
      <c r="VDY38" s="1001"/>
      <c r="VDZ38" s="1001"/>
      <c r="VEA38" s="1001"/>
      <c r="VEB38" s="1001"/>
      <c r="VEC38" s="1001"/>
      <c r="VED38" s="1001"/>
      <c r="VEE38" s="1001"/>
      <c r="VEF38" s="1001"/>
      <c r="VEG38" s="1001"/>
      <c r="VEH38" s="1001"/>
      <c r="VEI38" s="1001"/>
      <c r="VEJ38" s="1001"/>
      <c r="VEK38" s="1001"/>
      <c r="VEL38" s="1001"/>
      <c r="VEM38" s="1001"/>
      <c r="VEN38" s="1001"/>
      <c r="VEO38" s="1001"/>
      <c r="VEP38" s="1001"/>
      <c r="VEQ38" s="1001"/>
      <c r="VER38" s="1001"/>
      <c r="VES38" s="1001"/>
      <c r="VET38" s="1001"/>
      <c r="VEU38" s="1001"/>
      <c r="VEV38" s="1001"/>
      <c r="VEW38" s="1001"/>
      <c r="VEX38" s="1001"/>
      <c r="VEY38" s="1001"/>
      <c r="VEZ38" s="1001"/>
      <c r="VFA38" s="1001"/>
      <c r="VFB38" s="1001"/>
      <c r="VFC38" s="1001"/>
      <c r="VFD38" s="1001"/>
      <c r="VFE38" s="1001"/>
      <c r="VFF38" s="1001"/>
      <c r="VFG38" s="1001"/>
      <c r="VFH38" s="1001"/>
      <c r="VFI38" s="1001"/>
      <c r="VFJ38" s="1001"/>
      <c r="VFK38" s="1001"/>
      <c r="VFL38" s="1001"/>
      <c r="VFM38" s="1001"/>
      <c r="VFN38" s="1001"/>
      <c r="VFO38" s="1001"/>
      <c r="VFP38" s="1001"/>
      <c r="VFQ38" s="1001"/>
      <c r="VFR38" s="1001"/>
      <c r="VFS38" s="1001"/>
      <c r="VFT38" s="1001"/>
      <c r="VFU38" s="1001"/>
      <c r="VFV38" s="1001"/>
      <c r="VFW38" s="1001"/>
      <c r="VFX38" s="1001"/>
      <c r="VFY38" s="1001"/>
      <c r="VFZ38" s="1001"/>
      <c r="VGA38" s="1001"/>
      <c r="VGB38" s="1001"/>
      <c r="VGC38" s="1001"/>
      <c r="VGD38" s="1001"/>
      <c r="VGE38" s="1001"/>
      <c r="VGF38" s="1001"/>
      <c r="VGG38" s="1001"/>
      <c r="VGH38" s="1001"/>
      <c r="VGI38" s="1001"/>
      <c r="VGJ38" s="1001"/>
      <c r="VGK38" s="1001"/>
      <c r="VGL38" s="1001"/>
      <c r="VGM38" s="1001"/>
      <c r="VGN38" s="1001"/>
      <c r="VGO38" s="1001"/>
      <c r="VGP38" s="1001"/>
      <c r="VGQ38" s="1001"/>
      <c r="VGR38" s="1001"/>
      <c r="VGS38" s="1001"/>
      <c r="VGT38" s="1001"/>
      <c r="VGU38" s="1001"/>
      <c r="VGV38" s="1001"/>
      <c r="VGW38" s="1001"/>
      <c r="VGX38" s="1001"/>
      <c r="VGY38" s="1001"/>
      <c r="VGZ38" s="1001"/>
      <c r="VHA38" s="1001"/>
      <c r="VHB38" s="1001"/>
      <c r="VHC38" s="1001"/>
      <c r="VHD38" s="1001"/>
      <c r="VHE38" s="1001"/>
      <c r="VHF38" s="1001"/>
      <c r="VHG38" s="1001"/>
      <c r="VHH38" s="1001"/>
      <c r="VHI38" s="1001"/>
      <c r="VHJ38" s="1001"/>
      <c r="VHK38" s="1001"/>
      <c r="VHL38" s="1001"/>
      <c r="VHM38" s="1001"/>
      <c r="VHN38" s="1001"/>
      <c r="VHO38" s="1001"/>
      <c r="VHP38" s="1001"/>
      <c r="VHQ38" s="1001"/>
      <c r="VHR38" s="1001"/>
      <c r="VHS38" s="1001"/>
      <c r="VHT38" s="1001"/>
      <c r="VHU38" s="1001"/>
      <c r="VHV38" s="1001"/>
      <c r="VHW38" s="1001"/>
      <c r="VHX38" s="1001"/>
      <c r="VHY38" s="1001"/>
      <c r="VHZ38" s="1001"/>
      <c r="VIA38" s="1001"/>
      <c r="VIB38" s="1001"/>
      <c r="VIC38" s="1001"/>
      <c r="VID38" s="1001"/>
      <c r="VIE38" s="1001"/>
      <c r="VIF38" s="1001"/>
      <c r="VIG38" s="1001"/>
      <c r="VIH38" s="1001"/>
      <c r="VII38" s="1001"/>
      <c r="VIJ38" s="1001"/>
      <c r="VIK38" s="1001"/>
      <c r="VIL38" s="1001"/>
      <c r="VIM38" s="1001"/>
      <c r="VIN38" s="1001"/>
      <c r="VIO38" s="1001"/>
      <c r="VIP38" s="1001"/>
      <c r="VIQ38" s="1001"/>
      <c r="VIR38" s="1001"/>
      <c r="VIS38" s="1001"/>
      <c r="VIT38" s="1001"/>
      <c r="VIU38" s="1001"/>
      <c r="VIV38" s="1001"/>
      <c r="VIW38" s="1001"/>
      <c r="VIX38" s="1001"/>
      <c r="VIY38" s="1001"/>
      <c r="VIZ38" s="1001"/>
      <c r="VJA38" s="1001"/>
      <c r="VJB38" s="1001"/>
      <c r="VJC38" s="1001"/>
      <c r="VJD38" s="1001"/>
      <c r="VJE38" s="1001"/>
      <c r="VJF38" s="1001"/>
      <c r="VJG38" s="1001"/>
      <c r="VJH38" s="1001"/>
      <c r="VJI38" s="1001"/>
      <c r="VJJ38" s="1001"/>
      <c r="VJK38" s="1001"/>
      <c r="VJL38" s="1001"/>
      <c r="VJM38" s="1001"/>
      <c r="VJN38" s="1001"/>
      <c r="VJO38" s="1001"/>
      <c r="VJP38" s="1001"/>
      <c r="VJQ38" s="1001"/>
      <c r="VJR38" s="1001"/>
      <c r="VJS38" s="1001"/>
      <c r="VJT38" s="1001"/>
      <c r="VJU38" s="1001"/>
      <c r="VJV38" s="1001"/>
      <c r="VJW38" s="1001"/>
      <c r="VJX38" s="1001"/>
      <c r="VJY38" s="1001"/>
      <c r="VJZ38" s="1001"/>
      <c r="VKA38" s="1001"/>
      <c r="VKB38" s="1001"/>
      <c r="VKC38" s="1001"/>
      <c r="VKD38" s="1001"/>
      <c r="VKE38" s="1001"/>
      <c r="VKF38" s="1001"/>
      <c r="VKG38" s="1001"/>
      <c r="VKH38" s="1001"/>
      <c r="VKI38" s="1001"/>
      <c r="VKJ38" s="1001"/>
      <c r="VKK38" s="1001"/>
      <c r="VKL38" s="1001"/>
      <c r="VKM38" s="1001"/>
      <c r="VKN38" s="1001"/>
      <c r="VKO38" s="1001"/>
      <c r="VKP38" s="1001"/>
      <c r="VKQ38" s="1001"/>
      <c r="VKR38" s="1001"/>
      <c r="VKS38" s="1001"/>
      <c r="VKT38" s="1001"/>
      <c r="VKU38" s="1001"/>
      <c r="VKV38" s="1001"/>
      <c r="VKW38" s="1001"/>
      <c r="VKX38" s="1001"/>
      <c r="VKY38" s="1001"/>
      <c r="VKZ38" s="1001"/>
      <c r="VLA38" s="1001"/>
      <c r="VLB38" s="1001"/>
      <c r="VLC38" s="1001"/>
      <c r="VLD38" s="1001"/>
      <c r="VLE38" s="1001"/>
      <c r="VLF38" s="1001"/>
      <c r="VLG38" s="1001"/>
      <c r="VLH38" s="1001"/>
      <c r="VLI38" s="1001"/>
      <c r="VLJ38" s="1001"/>
      <c r="VLK38" s="1001"/>
      <c r="VLL38" s="1001"/>
      <c r="VLM38" s="1001"/>
      <c r="VLN38" s="1001"/>
      <c r="VLO38" s="1001"/>
      <c r="VLP38" s="1001"/>
      <c r="VLQ38" s="1001"/>
      <c r="VLR38" s="1001"/>
      <c r="VLS38" s="1001"/>
      <c r="VLT38" s="1001"/>
      <c r="VLU38" s="1001"/>
      <c r="VLV38" s="1001"/>
      <c r="VLW38" s="1001"/>
      <c r="VLX38" s="1001"/>
      <c r="VLY38" s="1001"/>
      <c r="VLZ38" s="1001"/>
      <c r="VMA38" s="1001"/>
      <c r="VMB38" s="1001"/>
      <c r="VMC38" s="1001"/>
      <c r="VMD38" s="1001"/>
      <c r="VME38" s="1001"/>
      <c r="VMF38" s="1001"/>
      <c r="VMG38" s="1001"/>
      <c r="VMH38" s="1001"/>
      <c r="VMI38" s="1001"/>
      <c r="VMJ38" s="1001"/>
      <c r="VMK38" s="1001"/>
      <c r="VML38" s="1001"/>
      <c r="VMM38" s="1001"/>
      <c r="VMN38" s="1001"/>
      <c r="VMO38" s="1001"/>
      <c r="VMP38" s="1001"/>
      <c r="VMQ38" s="1001"/>
      <c r="VMR38" s="1001"/>
      <c r="VMS38" s="1001"/>
      <c r="VMT38" s="1001"/>
      <c r="VMU38" s="1001"/>
      <c r="VMV38" s="1001"/>
      <c r="VMW38" s="1001"/>
      <c r="VMX38" s="1001"/>
      <c r="VMY38" s="1001"/>
      <c r="VMZ38" s="1001"/>
      <c r="VNA38" s="1001"/>
      <c r="VNB38" s="1001"/>
      <c r="VNC38" s="1001"/>
      <c r="VND38" s="1001"/>
      <c r="VNE38" s="1001"/>
      <c r="VNF38" s="1001"/>
      <c r="VNG38" s="1001"/>
      <c r="VNH38" s="1001"/>
      <c r="VNI38" s="1001"/>
      <c r="VNJ38" s="1001"/>
      <c r="VNK38" s="1001"/>
      <c r="VNL38" s="1001"/>
      <c r="VNM38" s="1001"/>
      <c r="VNN38" s="1001"/>
      <c r="VNO38" s="1001"/>
      <c r="VNP38" s="1001"/>
      <c r="VNQ38" s="1001"/>
      <c r="VNR38" s="1001"/>
      <c r="VNS38" s="1001"/>
      <c r="VNT38" s="1001"/>
      <c r="VNU38" s="1001"/>
      <c r="VNV38" s="1001"/>
      <c r="VNW38" s="1001"/>
      <c r="VNX38" s="1001"/>
      <c r="VNY38" s="1001"/>
      <c r="VNZ38" s="1001"/>
      <c r="VOA38" s="1001"/>
      <c r="VOB38" s="1001"/>
      <c r="VOC38" s="1001"/>
      <c r="VOD38" s="1001"/>
      <c r="VOE38" s="1001"/>
      <c r="VOF38" s="1001"/>
      <c r="VOG38" s="1001"/>
      <c r="VOH38" s="1001"/>
      <c r="VOI38" s="1001"/>
      <c r="VOJ38" s="1001"/>
      <c r="VOK38" s="1001"/>
      <c r="VOL38" s="1001"/>
      <c r="VOM38" s="1001"/>
      <c r="VON38" s="1001"/>
      <c r="VOO38" s="1001"/>
      <c r="VOP38" s="1001"/>
      <c r="VOQ38" s="1001"/>
      <c r="VOR38" s="1001"/>
      <c r="VOS38" s="1001"/>
      <c r="VOT38" s="1001"/>
      <c r="VOU38" s="1001"/>
      <c r="VOV38" s="1001"/>
      <c r="VOW38" s="1001"/>
      <c r="VOX38" s="1001"/>
      <c r="VOY38" s="1001"/>
      <c r="VOZ38" s="1001"/>
      <c r="VPA38" s="1001"/>
      <c r="VPB38" s="1001"/>
      <c r="VPC38" s="1001"/>
      <c r="VPD38" s="1001"/>
      <c r="VPE38" s="1001"/>
      <c r="VPF38" s="1001"/>
      <c r="VPG38" s="1001"/>
      <c r="VPH38" s="1001"/>
      <c r="VPI38" s="1001"/>
      <c r="VPJ38" s="1001"/>
      <c r="VPK38" s="1001"/>
      <c r="VPL38" s="1001"/>
      <c r="VPM38" s="1001"/>
      <c r="VPN38" s="1001"/>
      <c r="VPO38" s="1001"/>
      <c r="VPP38" s="1001"/>
      <c r="VPQ38" s="1001"/>
      <c r="VPR38" s="1001"/>
      <c r="VPS38" s="1001"/>
      <c r="VPT38" s="1001"/>
      <c r="VPU38" s="1001"/>
      <c r="VPV38" s="1001"/>
      <c r="VPW38" s="1001"/>
      <c r="VPX38" s="1001"/>
      <c r="VPY38" s="1001"/>
      <c r="VPZ38" s="1001"/>
      <c r="VQA38" s="1001"/>
      <c r="VQB38" s="1001"/>
      <c r="VQC38" s="1001"/>
      <c r="VQD38" s="1001"/>
      <c r="VQE38" s="1001"/>
      <c r="VQF38" s="1001"/>
      <c r="VQG38" s="1001"/>
      <c r="VQH38" s="1001"/>
      <c r="VQI38" s="1001"/>
      <c r="VQJ38" s="1001"/>
      <c r="VQK38" s="1001"/>
      <c r="VQL38" s="1001"/>
      <c r="VQM38" s="1001"/>
      <c r="VQN38" s="1001"/>
      <c r="VQO38" s="1001"/>
      <c r="VQP38" s="1001"/>
      <c r="VQQ38" s="1001"/>
      <c r="VQR38" s="1001"/>
      <c r="VQS38" s="1001"/>
      <c r="VQT38" s="1001"/>
      <c r="VQU38" s="1001"/>
      <c r="VQV38" s="1001"/>
      <c r="VQW38" s="1001"/>
      <c r="VQX38" s="1001"/>
      <c r="VQY38" s="1001"/>
      <c r="VQZ38" s="1001"/>
      <c r="VRA38" s="1001"/>
      <c r="VRB38" s="1001"/>
      <c r="VRC38" s="1001"/>
      <c r="VRD38" s="1001"/>
      <c r="VRE38" s="1001"/>
      <c r="VRF38" s="1001"/>
      <c r="VRG38" s="1001"/>
      <c r="VRH38" s="1001"/>
      <c r="VRI38" s="1001"/>
      <c r="VRJ38" s="1001"/>
      <c r="VRK38" s="1001"/>
      <c r="VRL38" s="1001"/>
      <c r="VRM38" s="1001"/>
      <c r="VRN38" s="1001"/>
      <c r="VRO38" s="1001"/>
      <c r="VRP38" s="1001"/>
      <c r="VRQ38" s="1001"/>
      <c r="VRR38" s="1001"/>
      <c r="VRS38" s="1001"/>
      <c r="VRT38" s="1001"/>
      <c r="VRU38" s="1001"/>
      <c r="VRV38" s="1001"/>
      <c r="VRW38" s="1001"/>
      <c r="VRX38" s="1001"/>
      <c r="VRY38" s="1001"/>
      <c r="VRZ38" s="1001"/>
      <c r="VSA38" s="1001"/>
      <c r="VSB38" s="1001"/>
      <c r="VSC38" s="1001"/>
      <c r="VSD38" s="1001"/>
      <c r="VSE38" s="1001"/>
      <c r="VSF38" s="1001"/>
      <c r="VSG38" s="1001"/>
      <c r="VSH38" s="1001"/>
      <c r="VSI38" s="1001"/>
      <c r="VSJ38" s="1001"/>
      <c r="VSK38" s="1001"/>
      <c r="VSL38" s="1001"/>
      <c r="VSM38" s="1001"/>
      <c r="VSN38" s="1001"/>
      <c r="VSO38" s="1001"/>
      <c r="VSP38" s="1001"/>
      <c r="VSQ38" s="1001"/>
      <c r="VSR38" s="1001"/>
      <c r="VSS38" s="1001"/>
      <c r="VST38" s="1001"/>
      <c r="VSU38" s="1001"/>
      <c r="VSV38" s="1001"/>
      <c r="VSW38" s="1001"/>
      <c r="VSX38" s="1001"/>
      <c r="VSY38" s="1001"/>
      <c r="VSZ38" s="1001"/>
      <c r="VTA38" s="1001"/>
      <c r="VTB38" s="1001"/>
      <c r="VTC38" s="1001"/>
      <c r="VTD38" s="1001"/>
      <c r="VTE38" s="1001"/>
      <c r="VTF38" s="1001"/>
      <c r="VTG38" s="1001"/>
      <c r="VTH38" s="1001"/>
      <c r="VTI38" s="1001"/>
      <c r="VTJ38" s="1001"/>
      <c r="VTK38" s="1001"/>
      <c r="VTL38" s="1001"/>
      <c r="VTM38" s="1001"/>
      <c r="VTN38" s="1001"/>
      <c r="VTO38" s="1001"/>
      <c r="VTP38" s="1001"/>
      <c r="VTQ38" s="1001"/>
      <c r="VTR38" s="1001"/>
      <c r="VTS38" s="1001"/>
      <c r="VTT38" s="1001"/>
      <c r="VTU38" s="1001"/>
      <c r="VTV38" s="1001"/>
      <c r="VTW38" s="1001"/>
      <c r="VTX38" s="1001"/>
      <c r="VTY38" s="1001"/>
      <c r="VTZ38" s="1001"/>
      <c r="VUA38" s="1001"/>
      <c r="VUB38" s="1001"/>
      <c r="VUC38" s="1001"/>
      <c r="VUD38" s="1001"/>
      <c r="VUE38" s="1001"/>
      <c r="VUF38" s="1001"/>
      <c r="VUG38" s="1001"/>
      <c r="VUH38" s="1001"/>
      <c r="VUI38" s="1001"/>
      <c r="VUJ38" s="1001"/>
      <c r="VUK38" s="1001"/>
      <c r="VUL38" s="1001"/>
      <c r="VUM38" s="1001"/>
      <c r="VUN38" s="1001"/>
      <c r="VUO38" s="1001"/>
      <c r="VUP38" s="1001"/>
      <c r="VUQ38" s="1001"/>
      <c r="VUR38" s="1001"/>
      <c r="VUS38" s="1001"/>
      <c r="VUT38" s="1001"/>
      <c r="VUU38" s="1001"/>
      <c r="VUV38" s="1001"/>
      <c r="VUW38" s="1001"/>
      <c r="VUX38" s="1001"/>
      <c r="VUY38" s="1001"/>
      <c r="VUZ38" s="1001"/>
      <c r="VVA38" s="1001"/>
      <c r="VVB38" s="1001"/>
      <c r="VVC38" s="1001"/>
      <c r="VVD38" s="1001"/>
      <c r="VVE38" s="1001"/>
      <c r="VVF38" s="1001"/>
      <c r="VVG38" s="1001"/>
      <c r="VVH38" s="1001"/>
      <c r="VVI38" s="1001"/>
      <c r="VVJ38" s="1001"/>
      <c r="VVK38" s="1001"/>
      <c r="VVL38" s="1001"/>
      <c r="VVM38" s="1001"/>
      <c r="VVN38" s="1001"/>
      <c r="VVO38" s="1001"/>
      <c r="VVP38" s="1001"/>
      <c r="VVQ38" s="1001"/>
      <c r="VVR38" s="1001"/>
      <c r="VVS38" s="1001"/>
      <c r="VVT38" s="1001"/>
      <c r="VVU38" s="1001"/>
      <c r="VVV38" s="1001"/>
      <c r="VVW38" s="1001"/>
      <c r="VVX38" s="1001"/>
      <c r="VVY38" s="1001"/>
      <c r="VVZ38" s="1001"/>
      <c r="VWA38" s="1001"/>
      <c r="VWB38" s="1001"/>
      <c r="VWC38" s="1001"/>
      <c r="VWD38" s="1001"/>
      <c r="VWE38" s="1001"/>
      <c r="VWF38" s="1001"/>
      <c r="VWG38" s="1001"/>
      <c r="VWH38" s="1001"/>
      <c r="VWI38" s="1001"/>
      <c r="VWJ38" s="1001"/>
      <c r="VWK38" s="1001"/>
      <c r="VWL38" s="1001"/>
      <c r="VWM38" s="1001"/>
      <c r="VWN38" s="1001"/>
      <c r="VWO38" s="1001"/>
      <c r="VWP38" s="1001"/>
      <c r="VWQ38" s="1001"/>
      <c r="VWR38" s="1001"/>
      <c r="VWS38" s="1001"/>
      <c r="VWT38" s="1001"/>
      <c r="VWU38" s="1001"/>
      <c r="VWV38" s="1001"/>
      <c r="VWW38" s="1001"/>
      <c r="VWX38" s="1001"/>
      <c r="VWY38" s="1001"/>
      <c r="VWZ38" s="1001"/>
      <c r="VXA38" s="1001"/>
      <c r="VXB38" s="1001"/>
      <c r="VXC38" s="1001"/>
      <c r="VXD38" s="1001"/>
      <c r="VXE38" s="1001"/>
      <c r="VXF38" s="1001"/>
      <c r="VXG38" s="1001"/>
      <c r="VXH38" s="1001"/>
      <c r="VXI38" s="1001"/>
      <c r="VXJ38" s="1001"/>
      <c r="VXK38" s="1001"/>
      <c r="VXL38" s="1001"/>
      <c r="VXM38" s="1001"/>
      <c r="VXN38" s="1001"/>
      <c r="VXO38" s="1001"/>
      <c r="VXP38" s="1001"/>
      <c r="VXQ38" s="1001"/>
      <c r="VXR38" s="1001"/>
      <c r="VXS38" s="1001"/>
      <c r="VXT38" s="1001"/>
      <c r="VXU38" s="1001"/>
      <c r="VXV38" s="1001"/>
      <c r="VXW38" s="1001"/>
      <c r="VXX38" s="1001"/>
      <c r="VXY38" s="1001"/>
      <c r="VXZ38" s="1001"/>
      <c r="VYA38" s="1001"/>
      <c r="VYB38" s="1001"/>
      <c r="VYC38" s="1001"/>
      <c r="VYD38" s="1001"/>
      <c r="VYE38" s="1001"/>
      <c r="VYF38" s="1001"/>
      <c r="VYG38" s="1001"/>
      <c r="VYH38" s="1001"/>
      <c r="VYI38" s="1001"/>
      <c r="VYJ38" s="1001"/>
      <c r="VYK38" s="1001"/>
      <c r="VYL38" s="1001"/>
      <c r="VYM38" s="1001"/>
      <c r="VYN38" s="1001"/>
      <c r="VYO38" s="1001"/>
      <c r="VYP38" s="1001"/>
      <c r="VYQ38" s="1001"/>
      <c r="VYR38" s="1001"/>
      <c r="VYS38" s="1001"/>
      <c r="VYT38" s="1001"/>
      <c r="VYU38" s="1001"/>
      <c r="VYV38" s="1001"/>
      <c r="VYW38" s="1001"/>
      <c r="VYX38" s="1001"/>
      <c r="VYY38" s="1001"/>
      <c r="VYZ38" s="1001"/>
      <c r="VZA38" s="1001"/>
      <c r="VZB38" s="1001"/>
      <c r="VZC38" s="1001"/>
      <c r="VZD38" s="1001"/>
      <c r="VZE38" s="1001"/>
      <c r="VZF38" s="1001"/>
      <c r="VZG38" s="1001"/>
      <c r="VZH38" s="1001"/>
      <c r="VZI38" s="1001"/>
      <c r="VZJ38" s="1001"/>
      <c r="VZK38" s="1001"/>
      <c r="VZL38" s="1001"/>
      <c r="VZM38" s="1001"/>
      <c r="VZN38" s="1001"/>
      <c r="VZO38" s="1001"/>
      <c r="VZP38" s="1001"/>
      <c r="VZQ38" s="1001"/>
      <c r="VZR38" s="1001"/>
      <c r="VZS38" s="1001"/>
      <c r="VZT38" s="1001"/>
      <c r="VZU38" s="1001"/>
      <c r="VZV38" s="1001"/>
      <c r="VZW38" s="1001"/>
      <c r="VZX38" s="1001"/>
      <c r="VZY38" s="1001"/>
      <c r="VZZ38" s="1001"/>
      <c r="WAA38" s="1001"/>
      <c r="WAB38" s="1001"/>
      <c r="WAC38" s="1001"/>
      <c r="WAD38" s="1001"/>
      <c r="WAE38" s="1001"/>
      <c r="WAF38" s="1001"/>
      <c r="WAG38" s="1001"/>
      <c r="WAH38" s="1001"/>
      <c r="WAI38" s="1001"/>
      <c r="WAJ38" s="1001"/>
      <c r="WAK38" s="1001"/>
      <c r="WAL38" s="1001"/>
      <c r="WAM38" s="1001"/>
      <c r="WAN38" s="1001"/>
      <c r="WAO38" s="1001"/>
      <c r="WAP38" s="1001"/>
      <c r="WAQ38" s="1001"/>
      <c r="WAR38" s="1001"/>
      <c r="WAS38" s="1001"/>
      <c r="WAT38" s="1001"/>
      <c r="WAU38" s="1001"/>
      <c r="WAV38" s="1001"/>
      <c r="WAW38" s="1001"/>
      <c r="WAX38" s="1001"/>
      <c r="WAY38" s="1001"/>
      <c r="WAZ38" s="1001"/>
      <c r="WBA38" s="1001"/>
      <c r="WBB38" s="1001"/>
      <c r="WBC38" s="1001"/>
      <c r="WBD38" s="1001"/>
      <c r="WBE38" s="1001"/>
      <c r="WBF38" s="1001"/>
      <c r="WBG38" s="1001"/>
      <c r="WBH38" s="1001"/>
      <c r="WBI38" s="1001"/>
      <c r="WBJ38" s="1001"/>
      <c r="WBK38" s="1001"/>
      <c r="WBL38" s="1001"/>
      <c r="WBM38" s="1001"/>
      <c r="WBN38" s="1001"/>
      <c r="WBO38" s="1001"/>
      <c r="WBP38" s="1001"/>
      <c r="WBQ38" s="1001"/>
      <c r="WBR38" s="1001"/>
      <c r="WBS38" s="1001"/>
      <c r="WBT38" s="1001"/>
      <c r="WBU38" s="1001"/>
      <c r="WBV38" s="1001"/>
      <c r="WBW38" s="1001"/>
      <c r="WBX38" s="1001"/>
      <c r="WBY38" s="1001"/>
      <c r="WBZ38" s="1001"/>
      <c r="WCA38" s="1001"/>
      <c r="WCB38" s="1001"/>
      <c r="WCC38" s="1001"/>
      <c r="WCD38" s="1001"/>
      <c r="WCE38" s="1001"/>
      <c r="WCF38" s="1001"/>
      <c r="WCG38" s="1001"/>
      <c r="WCH38" s="1001"/>
      <c r="WCI38" s="1001"/>
      <c r="WCJ38" s="1001"/>
      <c r="WCK38" s="1001"/>
      <c r="WCL38" s="1001"/>
      <c r="WCM38" s="1001"/>
      <c r="WCN38" s="1001"/>
      <c r="WCO38" s="1001"/>
      <c r="WCP38" s="1001"/>
      <c r="WCQ38" s="1001"/>
      <c r="WCR38" s="1001"/>
      <c r="WCS38" s="1001"/>
      <c r="WCT38" s="1001"/>
      <c r="WCU38" s="1001"/>
      <c r="WCV38" s="1001"/>
      <c r="WCW38" s="1001"/>
      <c r="WCX38" s="1001"/>
      <c r="WCY38" s="1001"/>
      <c r="WCZ38" s="1001"/>
      <c r="WDA38" s="1001"/>
      <c r="WDB38" s="1001"/>
      <c r="WDC38" s="1001"/>
      <c r="WDD38" s="1001"/>
      <c r="WDE38" s="1001"/>
      <c r="WDF38" s="1001"/>
      <c r="WDG38" s="1001"/>
      <c r="WDH38" s="1001"/>
      <c r="WDI38" s="1001"/>
      <c r="WDJ38" s="1001"/>
      <c r="WDK38" s="1001"/>
      <c r="WDL38" s="1001"/>
      <c r="WDM38" s="1001"/>
      <c r="WDN38" s="1001"/>
      <c r="WDO38" s="1001"/>
      <c r="WDP38" s="1001"/>
      <c r="WDQ38" s="1001"/>
      <c r="WDR38" s="1001"/>
      <c r="WDS38" s="1001"/>
      <c r="WDT38" s="1001"/>
      <c r="WDU38" s="1001"/>
      <c r="WDV38" s="1001"/>
      <c r="WDW38" s="1001"/>
      <c r="WDX38" s="1001"/>
      <c r="WDY38" s="1001"/>
      <c r="WDZ38" s="1001"/>
      <c r="WEA38" s="1001"/>
      <c r="WEB38" s="1001"/>
      <c r="WEC38" s="1001"/>
      <c r="WED38" s="1001"/>
      <c r="WEE38" s="1001"/>
      <c r="WEF38" s="1001"/>
      <c r="WEG38" s="1001"/>
      <c r="WEH38" s="1001"/>
      <c r="WEI38" s="1001"/>
      <c r="WEJ38" s="1001"/>
      <c r="WEK38" s="1001"/>
      <c r="WEL38" s="1001"/>
      <c r="WEM38" s="1001"/>
      <c r="WEN38" s="1001"/>
      <c r="WEO38" s="1001"/>
      <c r="WEP38" s="1001"/>
      <c r="WEQ38" s="1001"/>
      <c r="WER38" s="1001"/>
      <c r="WES38" s="1001"/>
      <c r="WET38" s="1001"/>
      <c r="WEU38" s="1001"/>
      <c r="WEV38" s="1001"/>
      <c r="WEW38" s="1001"/>
      <c r="WEX38" s="1001"/>
      <c r="WEY38" s="1001"/>
      <c r="WEZ38" s="1001"/>
      <c r="WFA38" s="1001"/>
      <c r="WFB38" s="1001"/>
      <c r="WFC38" s="1001"/>
      <c r="WFD38" s="1001"/>
      <c r="WFE38" s="1001"/>
      <c r="WFF38" s="1001"/>
      <c r="WFG38" s="1001"/>
      <c r="WFH38" s="1001"/>
      <c r="WFI38" s="1001"/>
      <c r="WFJ38" s="1001"/>
      <c r="WFK38" s="1001"/>
      <c r="WFL38" s="1001"/>
      <c r="WFM38" s="1001"/>
      <c r="WFN38" s="1001"/>
      <c r="WFO38" s="1001"/>
      <c r="WFP38" s="1001"/>
      <c r="WFQ38" s="1001"/>
      <c r="WFR38" s="1001"/>
      <c r="WFS38" s="1001"/>
      <c r="WFT38" s="1001"/>
      <c r="WFU38" s="1001"/>
      <c r="WFV38" s="1001"/>
      <c r="WFW38" s="1001"/>
      <c r="WFX38" s="1001"/>
      <c r="WFY38" s="1001"/>
      <c r="WFZ38" s="1001"/>
      <c r="WGA38" s="1001"/>
      <c r="WGB38" s="1001"/>
      <c r="WGC38" s="1001"/>
      <c r="WGD38" s="1001"/>
      <c r="WGE38" s="1001"/>
      <c r="WGF38" s="1001"/>
      <c r="WGG38" s="1001"/>
      <c r="WGH38" s="1001"/>
      <c r="WGI38" s="1001"/>
      <c r="WGJ38" s="1001"/>
      <c r="WGK38" s="1001"/>
      <c r="WGL38" s="1001"/>
      <c r="WGM38" s="1001"/>
      <c r="WGN38" s="1001"/>
      <c r="WGO38" s="1001"/>
      <c r="WGP38" s="1001"/>
      <c r="WGQ38" s="1001"/>
      <c r="WGR38" s="1001"/>
      <c r="WGS38" s="1001"/>
      <c r="WGT38" s="1001"/>
      <c r="WGU38" s="1001"/>
      <c r="WGV38" s="1001"/>
      <c r="WGW38" s="1001"/>
      <c r="WGX38" s="1001"/>
      <c r="WGY38" s="1001"/>
      <c r="WGZ38" s="1001"/>
      <c r="WHA38" s="1001"/>
      <c r="WHB38" s="1001"/>
      <c r="WHC38" s="1001"/>
      <c r="WHD38" s="1001"/>
      <c r="WHE38" s="1001"/>
      <c r="WHF38" s="1001"/>
      <c r="WHG38" s="1001"/>
      <c r="WHH38" s="1001"/>
      <c r="WHI38" s="1001"/>
      <c r="WHJ38" s="1001"/>
      <c r="WHK38" s="1001"/>
      <c r="WHL38" s="1001"/>
      <c r="WHM38" s="1001"/>
      <c r="WHN38" s="1001"/>
      <c r="WHO38" s="1001"/>
      <c r="WHP38" s="1001"/>
      <c r="WHQ38" s="1001"/>
      <c r="WHR38" s="1001"/>
      <c r="WHS38" s="1001"/>
      <c r="WHT38" s="1001"/>
      <c r="WHU38" s="1001"/>
      <c r="WHV38" s="1001"/>
      <c r="WHW38" s="1001"/>
      <c r="WHX38" s="1001"/>
      <c r="WHY38" s="1001"/>
      <c r="WHZ38" s="1001"/>
      <c r="WIA38" s="1001"/>
      <c r="WIB38" s="1001"/>
      <c r="WIC38" s="1001"/>
      <c r="WID38" s="1001"/>
      <c r="WIE38" s="1001"/>
      <c r="WIF38" s="1001"/>
      <c r="WIG38" s="1001"/>
      <c r="WIH38" s="1001"/>
      <c r="WII38" s="1001"/>
      <c r="WIJ38" s="1001"/>
      <c r="WIK38" s="1001"/>
      <c r="WIL38" s="1001"/>
      <c r="WIM38" s="1001"/>
      <c r="WIN38" s="1001"/>
      <c r="WIO38" s="1001"/>
      <c r="WIP38" s="1001"/>
      <c r="WIQ38" s="1001"/>
      <c r="WIR38" s="1001"/>
      <c r="WIS38" s="1001"/>
      <c r="WIT38" s="1001"/>
      <c r="WIU38" s="1001"/>
      <c r="WIV38" s="1001"/>
      <c r="WIW38" s="1001"/>
      <c r="WIX38" s="1001"/>
      <c r="WIY38" s="1001"/>
      <c r="WIZ38" s="1001"/>
      <c r="WJA38" s="1001"/>
      <c r="WJB38" s="1001"/>
      <c r="WJC38" s="1001"/>
      <c r="WJD38" s="1001"/>
      <c r="WJE38" s="1001"/>
      <c r="WJF38" s="1001"/>
      <c r="WJG38" s="1001"/>
      <c r="WJH38" s="1001"/>
      <c r="WJI38" s="1001"/>
      <c r="WJJ38" s="1001"/>
      <c r="WJK38" s="1001"/>
      <c r="WJL38" s="1001"/>
      <c r="WJM38" s="1001"/>
      <c r="WJN38" s="1001"/>
      <c r="WJO38" s="1001"/>
      <c r="WJP38" s="1001"/>
      <c r="WJQ38" s="1001"/>
      <c r="WJR38" s="1001"/>
      <c r="WJS38" s="1001"/>
      <c r="WJT38" s="1001"/>
      <c r="WJU38" s="1001"/>
      <c r="WJV38" s="1001"/>
      <c r="WJW38" s="1001"/>
      <c r="WJX38" s="1001"/>
      <c r="WJY38" s="1001"/>
      <c r="WJZ38" s="1001"/>
      <c r="WKA38" s="1001"/>
      <c r="WKB38" s="1001"/>
      <c r="WKC38" s="1001"/>
      <c r="WKD38" s="1001"/>
      <c r="WKE38" s="1001"/>
      <c r="WKF38" s="1001"/>
      <c r="WKG38" s="1001"/>
      <c r="WKH38" s="1001"/>
      <c r="WKI38" s="1001"/>
      <c r="WKJ38" s="1001"/>
      <c r="WKK38" s="1001"/>
      <c r="WKL38" s="1001"/>
      <c r="WKM38" s="1001"/>
      <c r="WKN38" s="1001"/>
      <c r="WKO38" s="1001"/>
      <c r="WKP38" s="1001"/>
      <c r="WKQ38" s="1001"/>
      <c r="WKR38" s="1001"/>
      <c r="WKS38" s="1001"/>
      <c r="WKT38" s="1001"/>
      <c r="WKU38" s="1001"/>
      <c r="WKV38" s="1001"/>
      <c r="WKW38" s="1001"/>
      <c r="WKX38" s="1001"/>
      <c r="WKY38" s="1001"/>
      <c r="WKZ38" s="1001"/>
      <c r="WLA38" s="1001"/>
      <c r="WLB38" s="1001"/>
      <c r="WLC38" s="1001"/>
      <c r="WLD38" s="1001"/>
      <c r="WLE38" s="1001"/>
      <c r="WLF38" s="1001"/>
      <c r="WLG38" s="1001"/>
      <c r="WLH38" s="1001"/>
      <c r="WLI38" s="1001"/>
      <c r="WLJ38" s="1001"/>
      <c r="WLK38" s="1001"/>
      <c r="WLL38" s="1001"/>
      <c r="WLM38" s="1001"/>
      <c r="WLN38" s="1001"/>
      <c r="WLO38" s="1001"/>
      <c r="WLP38" s="1001"/>
      <c r="WLQ38" s="1001"/>
      <c r="WLR38" s="1001"/>
      <c r="WLS38" s="1001"/>
      <c r="WLT38" s="1001"/>
      <c r="WLU38" s="1001"/>
      <c r="WLV38" s="1001"/>
      <c r="WLW38" s="1001"/>
      <c r="WLX38" s="1001"/>
      <c r="WLY38" s="1001"/>
      <c r="WLZ38" s="1001"/>
      <c r="WMA38" s="1001"/>
      <c r="WMB38" s="1001"/>
      <c r="WMC38" s="1001"/>
      <c r="WMD38" s="1001"/>
      <c r="WME38" s="1001"/>
      <c r="WMF38" s="1001"/>
      <c r="WMG38" s="1001"/>
      <c r="WMH38" s="1001"/>
      <c r="WMI38" s="1001"/>
      <c r="WMJ38" s="1001"/>
      <c r="WMK38" s="1001"/>
      <c r="WML38" s="1001"/>
      <c r="WMM38" s="1001"/>
      <c r="WMN38" s="1001"/>
      <c r="WMO38" s="1001"/>
      <c r="WMP38" s="1001"/>
      <c r="WMQ38" s="1001"/>
      <c r="WMR38" s="1001"/>
      <c r="WMS38" s="1001"/>
      <c r="WMT38" s="1001"/>
      <c r="WMU38" s="1001"/>
      <c r="WMV38" s="1001"/>
      <c r="WMW38" s="1001"/>
      <c r="WMX38" s="1001"/>
      <c r="WMY38" s="1001"/>
      <c r="WMZ38" s="1001"/>
      <c r="WNA38" s="1001"/>
      <c r="WNB38" s="1001"/>
      <c r="WNC38" s="1001"/>
      <c r="WND38" s="1001"/>
      <c r="WNE38" s="1001"/>
      <c r="WNF38" s="1001"/>
      <c r="WNG38" s="1001"/>
      <c r="WNH38" s="1001"/>
      <c r="WNI38" s="1001"/>
      <c r="WNJ38" s="1001"/>
      <c r="WNK38" s="1001"/>
      <c r="WNL38" s="1001"/>
      <c r="WNM38" s="1001"/>
      <c r="WNN38" s="1001"/>
      <c r="WNO38" s="1001"/>
      <c r="WNP38" s="1001"/>
      <c r="WNQ38" s="1001"/>
      <c r="WNR38" s="1001"/>
      <c r="WNS38" s="1001"/>
      <c r="WNT38" s="1001"/>
      <c r="WNU38" s="1001"/>
      <c r="WNV38" s="1001"/>
      <c r="WNW38" s="1001"/>
      <c r="WNX38" s="1001"/>
      <c r="WNY38" s="1001"/>
      <c r="WNZ38" s="1001"/>
      <c r="WOA38" s="1001"/>
      <c r="WOB38" s="1001"/>
      <c r="WOC38" s="1001"/>
      <c r="WOD38" s="1001"/>
      <c r="WOE38" s="1001"/>
      <c r="WOF38" s="1001"/>
      <c r="WOG38" s="1001"/>
      <c r="WOH38" s="1001"/>
      <c r="WOI38" s="1001"/>
      <c r="WOJ38" s="1001"/>
      <c r="WOK38" s="1001"/>
      <c r="WOL38" s="1001"/>
      <c r="WOM38" s="1001"/>
      <c r="WON38" s="1001"/>
      <c r="WOO38" s="1001"/>
      <c r="WOP38" s="1001"/>
      <c r="WOQ38" s="1001"/>
      <c r="WOR38" s="1001"/>
      <c r="WOS38" s="1001"/>
      <c r="WOT38" s="1001"/>
      <c r="WOU38" s="1001"/>
      <c r="WOV38" s="1001"/>
      <c r="WOW38" s="1001"/>
      <c r="WOX38" s="1001"/>
      <c r="WOY38" s="1001"/>
      <c r="WOZ38" s="1001"/>
      <c r="WPA38" s="1001"/>
      <c r="WPB38" s="1001"/>
      <c r="WPC38" s="1001"/>
      <c r="WPD38" s="1001"/>
      <c r="WPE38" s="1001"/>
      <c r="WPF38" s="1001"/>
      <c r="WPG38" s="1001"/>
      <c r="WPH38" s="1001"/>
      <c r="WPI38" s="1001"/>
      <c r="WPJ38" s="1001"/>
      <c r="WPK38" s="1001"/>
      <c r="WPL38" s="1001"/>
      <c r="WPM38" s="1001"/>
      <c r="WPN38" s="1001"/>
      <c r="WPO38" s="1001"/>
      <c r="WPP38" s="1001"/>
      <c r="WPQ38" s="1001"/>
      <c r="WPR38" s="1001"/>
      <c r="WPS38" s="1001"/>
      <c r="WPT38" s="1001"/>
      <c r="WPU38" s="1001"/>
      <c r="WPV38" s="1001"/>
      <c r="WPW38" s="1001"/>
      <c r="WPX38" s="1001"/>
      <c r="WPY38" s="1001"/>
      <c r="WPZ38" s="1001"/>
      <c r="WQA38" s="1001"/>
      <c r="WQB38" s="1001"/>
      <c r="WQC38" s="1001"/>
      <c r="WQD38" s="1001"/>
      <c r="WQE38" s="1001"/>
      <c r="WQF38" s="1001"/>
      <c r="WQG38" s="1001"/>
      <c r="WQH38" s="1001"/>
      <c r="WQI38" s="1001"/>
      <c r="WQJ38" s="1001"/>
      <c r="WQK38" s="1001"/>
      <c r="WQL38" s="1001"/>
      <c r="WQM38" s="1001"/>
      <c r="WQN38" s="1001"/>
      <c r="WQO38" s="1001"/>
      <c r="WQP38" s="1001"/>
      <c r="WQQ38" s="1001"/>
      <c r="WQR38" s="1001"/>
      <c r="WQS38" s="1001"/>
      <c r="WQT38" s="1001"/>
      <c r="WQU38" s="1001"/>
      <c r="WQV38" s="1001"/>
      <c r="WQW38" s="1001"/>
      <c r="WQX38" s="1001"/>
      <c r="WQY38" s="1001"/>
      <c r="WQZ38" s="1001"/>
      <c r="WRA38" s="1001"/>
      <c r="WRB38" s="1001"/>
      <c r="WRC38" s="1001"/>
      <c r="WRD38" s="1001"/>
      <c r="WRE38" s="1001"/>
      <c r="WRF38" s="1001"/>
      <c r="WRG38" s="1001"/>
      <c r="WRH38" s="1001"/>
      <c r="WRI38" s="1001"/>
      <c r="WRJ38" s="1001"/>
      <c r="WRK38" s="1001"/>
      <c r="WRL38" s="1001"/>
      <c r="WRM38" s="1001"/>
      <c r="WRN38" s="1001"/>
      <c r="WRO38" s="1001"/>
      <c r="WRP38" s="1001"/>
      <c r="WRQ38" s="1001"/>
      <c r="WRR38" s="1001"/>
      <c r="WRS38" s="1001"/>
      <c r="WRT38" s="1001"/>
      <c r="WRU38" s="1001"/>
      <c r="WRV38" s="1001"/>
      <c r="WRW38" s="1001"/>
      <c r="WRX38" s="1001"/>
      <c r="WRY38" s="1001"/>
      <c r="WRZ38" s="1001"/>
      <c r="WSA38" s="1001"/>
      <c r="WSB38" s="1001"/>
      <c r="WSC38" s="1001"/>
      <c r="WSD38" s="1001"/>
      <c r="WSE38" s="1001"/>
      <c r="WSF38" s="1001"/>
      <c r="WSG38" s="1001"/>
      <c r="WSH38" s="1001"/>
      <c r="WSI38" s="1001"/>
      <c r="WSJ38" s="1001"/>
      <c r="WSK38" s="1001"/>
      <c r="WSL38" s="1001"/>
      <c r="WSM38" s="1001"/>
      <c r="WSN38" s="1001"/>
      <c r="WSO38" s="1001"/>
      <c r="WSP38" s="1001"/>
      <c r="WSQ38" s="1001"/>
      <c r="WSR38" s="1001"/>
      <c r="WSS38" s="1001"/>
      <c r="WST38" s="1001"/>
      <c r="WSU38" s="1001"/>
      <c r="WSV38" s="1001"/>
      <c r="WSW38" s="1001"/>
      <c r="WSX38" s="1001"/>
      <c r="WSY38" s="1001"/>
      <c r="WSZ38" s="1001"/>
      <c r="WTA38" s="1001"/>
      <c r="WTB38" s="1001"/>
      <c r="WTC38" s="1001"/>
      <c r="WTD38" s="1001"/>
      <c r="WTE38" s="1001"/>
      <c r="WTF38" s="1001"/>
      <c r="WTG38" s="1001"/>
      <c r="WTH38" s="1001"/>
      <c r="WTI38" s="1001"/>
      <c r="WTJ38" s="1001"/>
      <c r="WTK38" s="1001"/>
      <c r="WTL38" s="1001"/>
      <c r="WTM38" s="1001"/>
      <c r="WTN38" s="1001"/>
      <c r="WTO38" s="1001"/>
      <c r="WTP38" s="1001"/>
      <c r="WTQ38" s="1001"/>
      <c r="WTR38" s="1001"/>
      <c r="WTS38" s="1001"/>
      <c r="WTT38" s="1001"/>
      <c r="WTU38" s="1001"/>
      <c r="WTV38" s="1001"/>
      <c r="WTW38" s="1001"/>
      <c r="WTX38" s="1001"/>
      <c r="WTY38" s="1001"/>
      <c r="WTZ38" s="1001"/>
      <c r="WUA38" s="1001"/>
      <c r="WUB38" s="1001"/>
      <c r="WUC38" s="1001"/>
      <c r="WUD38" s="1001"/>
      <c r="WUE38" s="1001"/>
      <c r="WUF38" s="1001"/>
      <c r="WUG38" s="1001"/>
      <c r="WUH38" s="1001"/>
      <c r="WUI38" s="1001"/>
      <c r="WUJ38" s="1001"/>
      <c r="WUK38" s="1001"/>
      <c r="WUL38" s="1001"/>
      <c r="WUM38" s="1001"/>
      <c r="WUN38" s="1001"/>
      <c r="WUO38" s="1001"/>
      <c r="WUP38" s="1001"/>
      <c r="WUQ38" s="1001"/>
      <c r="WUR38" s="1001"/>
      <c r="WUS38" s="1001"/>
      <c r="WUT38" s="1001"/>
      <c r="WUU38" s="1001"/>
      <c r="WUV38" s="1001"/>
      <c r="WUW38" s="1001"/>
      <c r="WUX38" s="1001"/>
      <c r="WUY38" s="1001"/>
      <c r="WUZ38" s="1001"/>
      <c r="WVA38" s="1001"/>
      <c r="WVB38" s="1001"/>
      <c r="WVC38" s="1001"/>
      <c r="WVD38" s="1001"/>
      <c r="WVE38" s="1001"/>
      <c r="WVF38" s="1001"/>
      <c r="WVG38" s="1001"/>
      <c r="WVH38" s="1001"/>
      <c r="WVI38" s="1001"/>
      <c r="WVJ38" s="1001"/>
      <c r="WVK38" s="1001"/>
      <c r="WVL38" s="1001"/>
      <c r="WVM38" s="1001"/>
      <c r="WVN38" s="1001"/>
      <c r="WVO38" s="1001"/>
      <c r="WVP38" s="1001"/>
      <c r="WVQ38" s="1001"/>
      <c r="WVR38" s="1001"/>
      <c r="WVS38" s="1001"/>
      <c r="WVT38" s="1001"/>
      <c r="WVU38" s="1001"/>
      <c r="WVV38" s="1001"/>
      <c r="WVW38" s="1001"/>
      <c r="WVX38" s="1001"/>
      <c r="WVY38" s="1001"/>
      <c r="WVZ38" s="1001"/>
      <c r="WWA38" s="1001"/>
      <c r="WWB38" s="1001"/>
      <c r="WWC38" s="1001"/>
      <c r="WWD38" s="1001"/>
      <c r="WWE38" s="1001"/>
      <c r="WWF38" s="1001"/>
      <c r="WWG38" s="1001"/>
      <c r="WWH38" s="1001"/>
      <c r="WWI38" s="1001"/>
      <c r="WWJ38" s="1001"/>
      <c r="WWK38" s="1001"/>
      <c r="WWL38" s="1001"/>
      <c r="WWM38" s="1001"/>
      <c r="WWN38" s="1001"/>
      <c r="WWO38" s="1001"/>
      <c r="WWP38" s="1001"/>
      <c r="WWQ38" s="1001"/>
      <c r="WWR38" s="1001"/>
      <c r="WWS38" s="1001"/>
      <c r="WWT38" s="1001"/>
      <c r="WWU38" s="1001"/>
      <c r="WWV38" s="1001"/>
      <c r="WWW38" s="1001"/>
      <c r="WWX38" s="1001"/>
      <c r="WWY38" s="1001"/>
      <c r="WWZ38" s="1001"/>
      <c r="WXA38" s="1001"/>
      <c r="WXB38" s="1001"/>
      <c r="WXC38" s="1001"/>
      <c r="WXD38" s="1001"/>
      <c r="WXE38" s="1001"/>
      <c r="WXF38" s="1001"/>
      <c r="WXG38" s="1001"/>
      <c r="WXH38" s="1001"/>
      <c r="WXI38" s="1001"/>
      <c r="WXJ38" s="1001"/>
      <c r="WXK38" s="1001"/>
      <c r="WXL38" s="1001"/>
      <c r="WXM38" s="1001"/>
      <c r="WXN38" s="1001"/>
      <c r="WXO38" s="1001"/>
      <c r="WXP38" s="1001"/>
      <c r="WXQ38" s="1001"/>
      <c r="WXR38" s="1001"/>
      <c r="WXS38" s="1001"/>
      <c r="WXT38" s="1001"/>
      <c r="WXU38" s="1001"/>
      <c r="WXV38" s="1001"/>
      <c r="WXW38" s="1001"/>
      <c r="WXX38" s="1001"/>
      <c r="WXY38" s="1001"/>
      <c r="WXZ38" s="1001"/>
      <c r="WYA38" s="1001"/>
      <c r="WYB38" s="1001"/>
      <c r="WYC38" s="1001"/>
      <c r="WYD38" s="1001"/>
      <c r="WYE38" s="1001"/>
      <c r="WYF38" s="1001"/>
      <c r="WYG38" s="1001"/>
      <c r="WYH38" s="1001"/>
      <c r="WYI38" s="1001"/>
      <c r="WYJ38" s="1001"/>
      <c r="WYK38" s="1001"/>
      <c r="WYL38" s="1001"/>
      <c r="WYM38" s="1001"/>
      <c r="WYN38" s="1001"/>
      <c r="WYO38" s="1001"/>
      <c r="WYP38" s="1001"/>
      <c r="WYQ38" s="1001"/>
      <c r="WYR38" s="1001"/>
      <c r="WYS38" s="1001"/>
      <c r="WYT38" s="1001"/>
      <c r="WYU38" s="1001"/>
      <c r="WYV38" s="1001"/>
      <c r="WYW38" s="1001"/>
      <c r="WYX38" s="1001"/>
      <c r="WYY38" s="1001"/>
      <c r="WYZ38" s="1001"/>
      <c r="WZA38" s="1001"/>
      <c r="WZB38" s="1001"/>
      <c r="WZC38" s="1001"/>
      <c r="WZD38" s="1001"/>
      <c r="WZE38" s="1001"/>
      <c r="WZF38" s="1001"/>
      <c r="WZG38" s="1001"/>
      <c r="WZH38" s="1001"/>
      <c r="WZI38" s="1001"/>
      <c r="WZJ38" s="1001"/>
      <c r="WZK38" s="1001"/>
      <c r="WZL38" s="1001"/>
      <c r="WZM38" s="1001"/>
      <c r="WZN38" s="1001"/>
      <c r="WZO38" s="1001"/>
      <c r="WZP38" s="1001"/>
      <c r="WZQ38" s="1001"/>
      <c r="WZR38" s="1001"/>
      <c r="WZS38" s="1001"/>
      <c r="WZT38" s="1001"/>
      <c r="WZU38" s="1001"/>
      <c r="WZV38" s="1001"/>
      <c r="WZW38" s="1001"/>
      <c r="WZX38" s="1001"/>
      <c r="WZY38" s="1001"/>
      <c r="WZZ38" s="1001"/>
      <c r="XAA38" s="1001"/>
      <c r="XAB38" s="1001"/>
      <c r="XAC38" s="1001"/>
      <c r="XAD38" s="1001"/>
      <c r="XAE38" s="1001"/>
      <c r="XAF38" s="1001"/>
      <c r="XAG38" s="1001"/>
      <c r="XAH38" s="1001"/>
      <c r="XAI38" s="1001"/>
      <c r="XAJ38" s="1001"/>
      <c r="XAK38" s="1001"/>
      <c r="XAL38" s="1001"/>
      <c r="XAM38" s="1001"/>
      <c r="XAN38" s="1001"/>
      <c r="XAO38" s="1001"/>
      <c r="XAP38" s="1001"/>
      <c r="XAQ38" s="1001"/>
      <c r="XAR38" s="1001"/>
      <c r="XAS38" s="1001"/>
      <c r="XAT38" s="1001"/>
      <c r="XAU38" s="1001"/>
      <c r="XAV38" s="1001"/>
      <c r="XAW38" s="1001"/>
      <c r="XAX38" s="1001"/>
      <c r="XAY38" s="1001"/>
      <c r="XAZ38" s="1001"/>
      <c r="XBA38" s="1001"/>
      <c r="XBB38" s="1001"/>
      <c r="XBC38" s="1001"/>
      <c r="XBD38" s="1001"/>
      <c r="XBE38" s="1001"/>
      <c r="XBF38" s="1001"/>
      <c r="XBG38" s="1001"/>
      <c r="XBH38" s="1001"/>
      <c r="XBI38" s="1001"/>
      <c r="XBJ38" s="1001"/>
      <c r="XBK38" s="1001"/>
      <c r="XBL38" s="1001"/>
      <c r="XBM38" s="1001"/>
      <c r="XBN38" s="1001"/>
      <c r="XBO38" s="1001"/>
      <c r="XBP38" s="1001"/>
      <c r="XBQ38" s="1001"/>
      <c r="XBR38" s="1001"/>
      <c r="XBS38" s="1001"/>
      <c r="XBT38" s="1001"/>
      <c r="XBU38" s="1001"/>
      <c r="XBV38" s="1001"/>
      <c r="XBW38" s="1001"/>
      <c r="XBX38" s="1001"/>
      <c r="XBY38" s="1001"/>
      <c r="XBZ38" s="1001"/>
      <c r="XCA38" s="1001"/>
      <c r="XCB38" s="1001"/>
      <c r="XCC38" s="1001"/>
      <c r="XCD38" s="1001"/>
      <c r="XCE38" s="1001"/>
      <c r="XCF38" s="1001"/>
      <c r="XCG38" s="1001"/>
      <c r="XCH38" s="1001"/>
      <c r="XCI38" s="1001"/>
      <c r="XCJ38" s="1001"/>
      <c r="XCK38" s="1001"/>
      <c r="XCL38" s="1001"/>
      <c r="XCM38" s="1001"/>
      <c r="XCN38" s="1001"/>
      <c r="XCO38" s="1001"/>
      <c r="XCP38" s="1001"/>
      <c r="XCQ38" s="1001"/>
      <c r="XCR38" s="1001"/>
      <c r="XCS38" s="1001"/>
      <c r="XCT38" s="1001"/>
      <c r="XCU38" s="1001"/>
      <c r="XCV38" s="1001"/>
      <c r="XCW38" s="1001"/>
      <c r="XCX38" s="1001"/>
      <c r="XCY38" s="1001"/>
      <c r="XCZ38" s="1001"/>
      <c r="XDA38" s="1001"/>
      <c r="XDB38" s="1001"/>
      <c r="XDC38" s="1001"/>
      <c r="XDD38" s="1001"/>
      <c r="XDE38" s="1001"/>
      <c r="XDF38" s="1001"/>
      <c r="XDG38" s="1001"/>
      <c r="XDH38" s="1001"/>
      <c r="XDI38" s="1001"/>
      <c r="XDJ38" s="1001"/>
      <c r="XDK38" s="1001"/>
      <c r="XDL38" s="1001"/>
      <c r="XDM38" s="1001"/>
      <c r="XDN38" s="1001"/>
      <c r="XDO38" s="1001"/>
      <c r="XDP38" s="1001"/>
      <c r="XDQ38" s="1001"/>
      <c r="XDR38" s="1001"/>
      <c r="XDS38" s="1001"/>
      <c r="XDT38" s="1001"/>
      <c r="XDU38" s="1001"/>
      <c r="XDV38" s="1001"/>
      <c r="XDW38" s="1001"/>
      <c r="XDX38" s="1001"/>
      <c r="XDY38" s="1001"/>
      <c r="XDZ38" s="1001"/>
      <c r="XEA38" s="1001"/>
      <c r="XEB38" s="1001"/>
      <c r="XEC38" s="1001"/>
      <c r="XED38" s="1001"/>
      <c r="XEE38" s="1001"/>
      <c r="XEF38" s="1001"/>
      <c r="XEG38" s="1001"/>
      <c r="XEH38" s="1001"/>
      <c r="XEI38" s="1001"/>
      <c r="XEJ38" s="1001"/>
      <c r="XEK38" s="1001"/>
      <c r="XEL38" s="1001"/>
      <c r="XEM38" s="1001"/>
      <c r="XEN38" s="1001"/>
      <c r="XEO38" s="1001"/>
      <c r="XEP38" s="1001"/>
      <c r="XEQ38" s="1001"/>
      <c r="XER38" s="1001"/>
      <c r="XES38" s="1001"/>
      <c r="XET38" s="1001"/>
      <c r="XEU38" s="1001"/>
      <c r="XEV38" s="1001"/>
      <c r="XEW38" s="1001"/>
      <c r="XEX38" s="1001"/>
      <c r="XEY38" s="1001"/>
      <c r="XEZ38" s="1001"/>
      <c r="XFA38" s="1001"/>
      <c r="XFB38" s="1001"/>
      <c r="XFC38" s="1001"/>
      <c r="XFD38" s="1001"/>
    </row>
    <row r="39" spans="1:16384" ht="15" customHeight="1" x14ac:dyDescent="0.25">
      <c r="A39" s="5" t="str">
        <f>'T1'!A21</f>
        <v>2016-17</v>
      </c>
      <c r="B39" s="17">
        <f>'T1'!B21</f>
        <v>3644</v>
      </c>
      <c r="C39" s="17">
        <f>'T1'!C21</f>
        <v>2546</v>
      </c>
      <c r="D39" s="17">
        <f>'T1'!D21</f>
        <v>160</v>
      </c>
      <c r="E39" s="17">
        <f>'T1'!E21</f>
        <v>745</v>
      </c>
      <c r="F39" s="909">
        <f t="shared" si="6"/>
        <v>7095</v>
      </c>
      <c r="H39" s="370"/>
      <c r="I39" s="370"/>
      <c r="J39" s="7"/>
      <c r="T39" s="585"/>
    </row>
    <row r="40" spans="1:16384" ht="15" customHeight="1" x14ac:dyDescent="0.25">
      <c r="A40" s="5" t="str">
        <f>'T1'!A22</f>
        <v>2017-18</v>
      </c>
      <c r="B40" s="17">
        <f>'T1'!B22</f>
        <v>3544</v>
      </c>
      <c r="C40" s="17">
        <f>'T1'!C22</f>
        <v>2545</v>
      </c>
      <c r="D40" s="17">
        <f>'T1'!D22</f>
        <v>184</v>
      </c>
      <c r="E40" s="17">
        <f>'T1'!E22</f>
        <v>759</v>
      </c>
      <c r="F40" s="909">
        <f t="shared" si="6"/>
        <v>7032</v>
      </c>
      <c r="H40" s="370"/>
      <c r="I40" s="370"/>
      <c r="J40" s="18"/>
      <c r="T40" s="585"/>
    </row>
    <row r="41" spans="1:16384" ht="15" customHeight="1" thickBot="1" x14ac:dyDescent="0.3">
      <c r="A41" s="541" t="str">
        <f>'T1'!A23</f>
        <v>2018-19</v>
      </c>
      <c r="B41" s="911">
        <f>'T1'!B23</f>
        <v>3636</v>
      </c>
      <c r="C41" s="911">
        <f>'T1'!C23</f>
        <v>2611</v>
      </c>
      <c r="D41" s="911">
        <f>'T1'!D23</f>
        <v>202</v>
      </c>
      <c r="E41" s="911">
        <f>'T1'!E23</f>
        <v>746</v>
      </c>
      <c r="F41" s="910">
        <f t="shared" si="6"/>
        <v>7195</v>
      </c>
      <c r="H41" s="376"/>
      <c r="I41" s="370"/>
      <c r="J41" s="18"/>
      <c r="T41" s="585"/>
    </row>
    <row r="42" spans="1:16384" ht="15" customHeight="1" x14ac:dyDescent="0.25">
      <c r="A42" s="6"/>
      <c r="B42" s="20"/>
      <c r="C42" s="20"/>
      <c r="D42" s="20"/>
      <c r="E42" s="20"/>
      <c r="F42" s="22"/>
      <c r="H42" s="23"/>
      <c r="I42" s="16"/>
      <c r="J42" s="7"/>
      <c r="T42" s="585"/>
    </row>
    <row r="43" spans="1:16384" ht="15" customHeight="1" x14ac:dyDescent="0.25">
      <c r="A43" s="1000" t="str">
        <f>"One Year Change "&amp;A40&amp;" to " &amp; A41</f>
        <v>One Year Change 2017-18 to 2018-19</v>
      </c>
      <c r="B43" s="1000"/>
      <c r="C43" s="1000"/>
      <c r="D43" s="24"/>
      <c r="E43" s="24"/>
      <c r="F43" s="24"/>
      <c r="H43" s="16"/>
      <c r="I43" s="16"/>
      <c r="J43" s="21"/>
      <c r="T43" s="585"/>
    </row>
    <row r="44" spans="1:16384" ht="15" customHeight="1" x14ac:dyDescent="0.25">
      <c r="A44" s="25" t="s">
        <v>6</v>
      </c>
      <c r="B44" s="9">
        <f>B41-B40</f>
        <v>92</v>
      </c>
      <c r="C44" s="9">
        <f>C41-C40</f>
        <v>66</v>
      </c>
      <c r="D44" s="9">
        <f>D41-D40</f>
        <v>18</v>
      </c>
      <c r="E44" s="9">
        <f>E41-E40</f>
        <v>-13</v>
      </c>
      <c r="F44" s="9">
        <f>F41-F40</f>
        <v>163</v>
      </c>
      <c r="H44" s="26"/>
      <c r="I44" s="26"/>
      <c r="J44" s="21"/>
      <c r="T44" s="585"/>
    </row>
    <row r="45" spans="1:16384" ht="15" customHeight="1" thickBot="1" x14ac:dyDescent="0.3">
      <c r="A45" s="11" t="s">
        <v>7</v>
      </c>
      <c r="B45" s="377">
        <f>B44/B40</f>
        <v>2.5959367945823927E-2</v>
      </c>
      <c r="C45" s="377">
        <f>C44/C40</f>
        <v>2.5933202357563849E-2</v>
      </c>
      <c r="D45" s="377">
        <f>D44/D40</f>
        <v>9.7826086956521743E-2</v>
      </c>
      <c r="E45" s="377">
        <f>E44/E40</f>
        <v>-1.7127799736495388E-2</v>
      </c>
      <c r="F45" s="377">
        <f>F44/F40</f>
        <v>2.3179749715585892E-2</v>
      </c>
      <c r="H45" s="378"/>
      <c r="I45" s="378"/>
      <c r="J45" s="18"/>
      <c r="T45" s="585"/>
    </row>
    <row r="46" spans="1:16384" ht="15" customHeight="1" x14ac:dyDescent="0.25">
      <c r="A46" s="27"/>
      <c r="B46" s="16"/>
      <c r="C46" s="16"/>
      <c r="D46" s="16"/>
      <c r="E46" s="16"/>
      <c r="F46" s="16"/>
      <c r="H46" s="16"/>
      <c r="I46" s="29"/>
      <c r="J46" s="18"/>
      <c r="T46" s="585"/>
    </row>
    <row r="47" spans="1:16384" ht="15" customHeight="1" x14ac:dyDescent="0.25">
      <c r="A47" s="1000" t="str">
        <f>"Three Year Change "&amp;A36&amp;" to " &amp; A41</f>
        <v>Three Year Change 2013-14 to 2018-19</v>
      </c>
      <c r="B47" s="1000"/>
      <c r="C47" s="1000"/>
      <c r="D47" s="24"/>
      <c r="E47" s="24"/>
      <c r="F47" s="24"/>
      <c r="H47" s="16"/>
      <c r="I47" s="29"/>
      <c r="J47" s="7"/>
      <c r="T47" s="585"/>
    </row>
    <row r="48" spans="1:16384" ht="15" customHeight="1" x14ac:dyDescent="0.25">
      <c r="A48" s="25" t="s">
        <v>6</v>
      </c>
      <c r="B48" s="9">
        <f>B41-B36</f>
        <v>-365</v>
      </c>
      <c r="C48" s="9">
        <f>C41-C36</f>
        <v>-54</v>
      </c>
      <c r="D48" s="9">
        <f>D41-D36</f>
        <v>-11</v>
      </c>
      <c r="E48" s="9">
        <f>E41-E36</f>
        <v>-65</v>
      </c>
      <c r="F48" s="9">
        <f>F41-F36</f>
        <v>-495</v>
      </c>
      <c r="H48" s="16"/>
      <c r="I48" s="29"/>
      <c r="J48" s="16"/>
      <c r="T48" s="585"/>
    </row>
    <row r="49" spans="1:20" ht="15" customHeight="1" thickBot="1" x14ac:dyDescent="0.3">
      <c r="A49" s="11" t="s">
        <v>7</v>
      </c>
      <c r="B49" s="377">
        <f>B48/B36</f>
        <v>-9.1227193201699572E-2</v>
      </c>
      <c r="C49" s="377">
        <f>C48/C36</f>
        <v>-2.0262664165103191E-2</v>
      </c>
      <c r="D49" s="377">
        <f>D48/D36</f>
        <v>-5.1643192488262914E-2</v>
      </c>
      <c r="E49" s="377">
        <f>E48/E36</f>
        <v>-8.0147965474722568E-2</v>
      </c>
      <c r="F49" s="377">
        <f>F48/F36</f>
        <v>-6.4369310793237974E-2</v>
      </c>
      <c r="H49" s="16"/>
      <c r="I49" s="29"/>
      <c r="J49" s="16"/>
      <c r="T49" s="585"/>
    </row>
    <row r="50" spans="1:20" ht="15" customHeight="1" x14ac:dyDescent="0.25">
      <c r="A50" s="27"/>
      <c r="B50" s="16"/>
      <c r="C50" s="16"/>
      <c r="D50" s="16"/>
      <c r="E50" s="16"/>
      <c r="F50" s="18"/>
      <c r="G50" s="16"/>
      <c r="H50" s="16"/>
      <c r="I50" s="29"/>
      <c r="J50" s="16"/>
      <c r="T50" s="585"/>
    </row>
    <row r="51" spans="1:20" ht="15" customHeight="1" x14ac:dyDescent="0.25">
      <c r="A51" s="438" t="s">
        <v>8</v>
      </c>
      <c r="J51" s="29"/>
      <c r="T51" s="585"/>
    </row>
    <row r="52" spans="1:20" ht="30" customHeight="1" x14ac:dyDescent="0.25">
      <c r="A52" s="992" t="s">
        <v>230</v>
      </c>
      <c r="B52" s="992"/>
      <c r="C52" s="992"/>
      <c r="D52" s="992"/>
      <c r="E52" s="992"/>
      <c r="F52" s="992"/>
      <c r="G52" s="992"/>
      <c r="H52" s="992"/>
      <c r="I52" s="992"/>
      <c r="J52" s="29"/>
      <c r="T52" s="585"/>
    </row>
    <row r="53" spans="1:20" ht="15" customHeight="1" x14ac:dyDescent="0.25">
      <c r="A53" t="s">
        <v>229</v>
      </c>
      <c r="J53" s="29"/>
      <c r="T53" s="585"/>
    </row>
    <row r="54" spans="1:20" ht="15" customHeight="1" x14ac:dyDescent="0.25">
      <c r="A54" s="548" t="s">
        <v>524</v>
      </c>
      <c r="D54" s="548"/>
      <c r="J54" s="29"/>
      <c r="T54" s="585"/>
    </row>
    <row r="55" spans="1:20" ht="15" customHeight="1" x14ac:dyDescent="0.25">
      <c r="J55" s="29"/>
      <c r="T55" s="585"/>
    </row>
    <row r="56" spans="1:20" ht="15" customHeight="1" x14ac:dyDescent="0.25">
      <c r="J56" s="29"/>
      <c r="K56" s="585"/>
      <c r="L56" s="585"/>
      <c r="M56" s="585"/>
      <c r="N56" s="585"/>
      <c r="O56" s="585"/>
      <c r="P56" s="585"/>
      <c r="Q56" s="585"/>
      <c r="R56" s="585"/>
      <c r="S56" s="585"/>
      <c r="T56" s="585"/>
    </row>
    <row r="57" spans="1:20" ht="15" customHeight="1" x14ac:dyDescent="0.25">
      <c r="J57" s="29"/>
      <c r="K57" s="585"/>
      <c r="L57" s="585"/>
      <c r="M57" s="585"/>
      <c r="N57" s="585"/>
      <c r="O57" s="585"/>
      <c r="P57" s="585"/>
      <c r="Q57" s="585"/>
      <c r="R57" s="585"/>
      <c r="S57" s="585"/>
      <c r="T57" s="585"/>
    </row>
    <row r="58" spans="1:20" ht="15" customHeight="1" x14ac:dyDescent="0.25">
      <c r="J58" s="16"/>
      <c r="K58" s="585"/>
      <c r="L58" s="585"/>
      <c r="M58" s="585"/>
      <c r="N58" s="585"/>
      <c r="O58" s="585"/>
      <c r="P58" s="585"/>
      <c r="Q58" s="585"/>
      <c r="R58" s="585"/>
      <c r="S58" s="585"/>
      <c r="T58" s="585"/>
    </row>
    <row r="59" spans="1:20" x14ac:dyDescent="0.25">
      <c r="J59" s="16"/>
      <c r="K59" s="585"/>
      <c r="L59" s="585"/>
      <c r="M59" s="585"/>
      <c r="N59" s="585"/>
      <c r="O59" s="585"/>
      <c r="P59" s="585"/>
      <c r="Q59" s="585"/>
      <c r="R59" s="585"/>
      <c r="S59" s="585"/>
      <c r="T59" s="585"/>
    </row>
    <row r="60" spans="1:20" x14ac:dyDescent="0.25">
      <c r="J60" s="29"/>
      <c r="K60" s="585"/>
      <c r="L60" s="585"/>
      <c r="M60" s="585"/>
      <c r="N60" s="585"/>
      <c r="O60" s="585"/>
      <c r="P60" s="585"/>
      <c r="Q60" s="585"/>
      <c r="R60" s="585"/>
      <c r="S60" s="585"/>
      <c r="T60" s="585"/>
    </row>
    <row r="61" spans="1:20" ht="14.1" customHeight="1" x14ac:dyDescent="0.25">
      <c r="J61" s="29"/>
      <c r="K61" s="585"/>
      <c r="L61" s="585"/>
      <c r="M61" s="585"/>
      <c r="N61" s="585"/>
      <c r="O61" s="585"/>
      <c r="P61" s="585"/>
      <c r="Q61" s="585"/>
      <c r="R61" s="585"/>
      <c r="S61" s="585"/>
      <c r="T61" s="585"/>
    </row>
    <row r="62" spans="1:20" ht="15.75" customHeight="1" x14ac:dyDescent="0.25">
      <c r="J62" s="16"/>
      <c r="K62" s="585"/>
      <c r="L62" s="585"/>
      <c r="M62" s="585"/>
      <c r="N62" s="585"/>
      <c r="O62" s="585"/>
      <c r="P62" s="585"/>
      <c r="Q62" s="585"/>
      <c r="R62" s="585"/>
      <c r="S62" s="585"/>
      <c r="T62" s="585"/>
    </row>
    <row r="63" spans="1:20" x14ac:dyDescent="0.25">
      <c r="J63" s="16"/>
      <c r="K63" s="585"/>
      <c r="L63" s="585"/>
      <c r="M63" s="585"/>
      <c r="N63" s="585"/>
      <c r="O63" s="585"/>
      <c r="P63" s="585"/>
      <c r="Q63" s="585"/>
      <c r="R63" s="585"/>
      <c r="S63" s="585"/>
      <c r="T63" s="585"/>
    </row>
    <row r="64" spans="1:20" x14ac:dyDescent="0.25">
      <c r="K64" s="585"/>
      <c r="L64" s="585"/>
      <c r="M64" s="585"/>
      <c r="N64" s="585"/>
      <c r="O64" s="585"/>
      <c r="P64" s="585"/>
      <c r="Q64" s="585"/>
      <c r="R64" s="585"/>
      <c r="S64" s="585"/>
      <c r="T64" s="585"/>
    </row>
    <row r="65" spans="11:20" x14ac:dyDescent="0.25">
      <c r="K65" s="585"/>
      <c r="L65" s="585"/>
      <c r="M65" s="585"/>
      <c r="N65" s="585"/>
      <c r="O65" s="585"/>
      <c r="P65" s="585"/>
      <c r="Q65" s="585"/>
      <c r="R65" s="585"/>
      <c r="S65" s="585"/>
      <c r="T65" s="585"/>
    </row>
    <row r="66" spans="11:20" x14ac:dyDescent="0.25">
      <c r="K66" s="585"/>
      <c r="L66" s="585"/>
      <c r="M66" s="585"/>
      <c r="N66" s="585"/>
      <c r="O66" s="585"/>
      <c r="P66" s="585"/>
      <c r="Q66" s="585"/>
      <c r="R66" s="585"/>
      <c r="S66" s="585"/>
      <c r="T66" s="585"/>
    </row>
    <row r="67" spans="11:20" x14ac:dyDescent="0.25">
      <c r="K67" s="585"/>
      <c r="L67" s="585"/>
      <c r="M67" s="585"/>
      <c r="N67" s="585"/>
      <c r="O67" s="585"/>
      <c r="P67" s="585"/>
      <c r="Q67" s="585"/>
      <c r="R67" s="585"/>
      <c r="S67" s="585"/>
      <c r="T67" s="585"/>
    </row>
    <row r="68" spans="11:20" x14ac:dyDescent="0.25">
      <c r="K68" s="585"/>
      <c r="L68" s="585"/>
      <c r="M68" s="585"/>
      <c r="N68" s="585"/>
      <c r="O68" s="585"/>
      <c r="P68" s="585"/>
      <c r="Q68" s="585"/>
      <c r="R68" s="585"/>
      <c r="S68" s="585"/>
      <c r="T68" s="585"/>
    </row>
  </sheetData>
  <sheetProtection algorithmName="SHA-512" hashValue="/6l91SVyOoc4/r+Jq38e+VBWSU4R3TBwjyzC7+A2uTxY3H6hMs+LyoijQ80DS4G7EmGDcn59g4BP1Ia4CKdqIw==" saltValue="+x/odirPTGvwOEv5fpvqkQ==" spinCount="100000" sheet="1" objects="1" scenarios="1"/>
  <mergeCells count="1826">
    <mergeCell ref="XFA38:XFD38"/>
    <mergeCell ref="XDH38:XDP38"/>
    <mergeCell ref="XDQ38:XDY38"/>
    <mergeCell ref="XDZ38:XEH38"/>
    <mergeCell ref="XEI38:XEQ38"/>
    <mergeCell ref="XER38:XEZ38"/>
    <mergeCell ref="XBO38:XBW38"/>
    <mergeCell ref="XBX38:XCF38"/>
    <mergeCell ref="XCG38:XCO38"/>
    <mergeCell ref="XCP38:XCX38"/>
    <mergeCell ref="XCY38:XDG38"/>
    <mergeCell ref="WZV38:XAD38"/>
    <mergeCell ref="XAE38:XAM38"/>
    <mergeCell ref="XAN38:XAV38"/>
    <mergeCell ref="XAW38:XBE38"/>
    <mergeCell ref="XBF38:XBN38"/>
    <mergeCell ref="WYC38:WYK38"/>
    <mergeCell ref="WYL38:WYT38"/>
    <mergeCell ref="WYU38:WZC38"/>
    <mergeCell ref="WZD38:WZL38"/>
    <mergeCell ref="WZM38:WZU38"/>
    <mergeCell ref="WWJ38:WWR38"/>
    <mergeCell ref="WWS38:WXA38"/>
    <mergeCell ref="WXB38:WXJ38"/>
    <mergeCell ref="WXK38:WXS38"/>
    <mergeCell ref="WXT38:WYB38"/>
    <mergeCell ref="WUQ38:WUY38"/>
    <mergeCell ref="WUZ38:WVH38"/>
    <mergeCell ref="WVI38:WVQ38"/>
    <mergeCell ref="WVR38:WVZ38"/>
    <mergeCell ref="WWA38:WWI38"/>
    <mergeCell ref="WSX38:WTF38"/>
    <mergeCell ref="WTG38:WTO38"/>
    <mergeCell ref="WTP38:WTX38"/>
    <mergeCell ref="WTY38:WUG38"/>
    <mergeCell ref="WUH38:WUP38"/>
    <mergeCell ref="WRE38:WRM38"/>
    <mergeCell ref="WRN38:WRV38"/>
    <mergeCell ref="WRW38:WSE38"/>
    <mergeCell ref="WSF38:WSN38"/>
    <mergeCell ref="WSO38:WSW38"/>
    <mergeCell ref="WPL38:WPT38"/>
    <mergeCell ref="WPU38:WQC38"/>
    <mergeCell ref="WQD38:WQL38"/>
    <mergeCell ref="WQM38:WQU38"/>
    <mergeCell ref="WQV38:WRD38"/>
    <mergeCell ref="WNS38:WOA38"/>
    <mergeCell ref="WOB38:WOJ38"/>
    <mergeCell ref="WOK38:WOS38"/>
    <mergeCell ref="WOT38:WPB38"/>
    <mergeCell ref="WPC38:WPK38"/>
    <mergeCell ref="WLZ38:WMH38"/>
    <mergeCell ref="WMI38:WMQ38"/>
    <mergeCell ref="WMR38:WMZ38"/>
    <mergeCell ref="WNA38:WNI38"/>
    <mergeCell ref="WNJ38:WNR38"/>
    <mergeCell ref="WKG38:WKO38"/>
    <mergeCell ref="WKP38:WKX38"/>
    <mergeCell ref="WKY38:WLG38"/>
    <mergeCell ref="WLH38:WLP38"/>
    <mergeCell ref="WLQ38:WLY38"/>
    <mergeCell ref="WIN38:WIV38"/>
    <mergeCell ref="WIW38:WJE38"/>
    <mergeCell ref="WJF38:WJN38"/>
    <mergeCell ref="WJO38:WJW38"/>
    <mergeCell ref="WJX38:WKF38"/>
    <mergeCell ref="WGU38:WHC38"/>
    <mergeCell ref="WHD38:WHL38"/>
    <mergeCell ref="WHM38:WHU38"/>
    <mergeCell ref="WHV38:WID38"/>
    <mergeCell ref="WIE38:WIM38"/>
    <mergeCell ref="WFB38:WFJ38"/>
    <mergeCell ref="WFK38:WFS38"/>
    <mergeCell ref="WFT38:WGB38"/>
    <mergeCell ref="WGC38:WGK38"/>
    <mergeCell ref="WGL38:WGT38"/>
    <mergeCell ref="WDI38:WDQ38"/>
    <mergeCell ref="WDR38:WDZ38"/>
    <mergeCell ref="WEA38:WEI38"/>
    <mergeCell ref="WEJ38:WER38"/>
    <mergeCell ref="WES38:WFA38"/>
    <mergeCell ref="WBP38:WBX38"/>
    <mergeCell ref="WBY38:WCG38"/>
    <mergeCell ref="WCH38:WCP38"/>
    <mergeCell ref="WCQ38:WCY38"/>
    <mergeCell ref="WCZ38:WDH38"/>
    <mergeCell ref="VZW38:WAE38"/>
    <mergeCell ref="WAF38:WAN38"/>
    <mergeCell ref="WAO38:WAW38"/>
    <mergeCell ref="WAX38:WBF38"/>
    <mergeCell ref="WBG38:WBO38"/>
    <mergeCell ref="VYD38:VYL38"/>
    <mergeCell ref="VYM38:VYU38"/>
    <mergeCell ref="VYV38:VZD38"/>
    <mergeCell ref="VZE38:VZM38"/>
    <mergeCell ref="VZN38:VZV38"/>
    <mergeCell ref="VWK38:VWS38"/>
    <mergeCell ref="VWT38:VXB38"/>
    <mergeCell ref="VXC38:VXK38"/>
    <mergeCell ref="VXL38:VXT38"/>
    <mergeCell ref="VXU38:VYC38"/>
    <mergeCell ref="VUR38:VUZ38"/>
    <mergeCell ref="VVA38:VVI38"/>
    <mergeCell ref="VVJ38:VVR38"/>
    <mergeCell ref="VVS38:VWA38"/>
    <mergeCell ref="VWB38:VWJ38"/>
    <mergeCell ref="VSY38:VTG38"/>
    <mergeCell ref="VTH38:VTP38"/>
    <mergeCell ref="VTQ38:VTY38"/>
    <mergeCell ref="VTZ38:VUH38"/>
    <mergeCell ref="VUI38:VUQ38"/>
    <mergeCell ref="VRF38:VRN38"/>
    <mergeCell ref="VRO38:VRW38"/>
    <mergeCell ref="VRX38:VSF38"/>
    <mergeCell ref="VSG38:VSO38"/>
    <mergeCell ref="VSP38:VSX38"/>
    <mergeCell ref="VPM38:VPU38"/>
    <mergeCell ref="VPV38:VQD38"/>
    <mergeCell ref="VQE38:VQM38"/>
    <mergeCell ref="VQN38:VQV38"/>
    <mergeCell ref="VQW38:VRE38"/>
    <mergeCell ref="VNT38:VOB38"/>
    <mergeCell ref="VOC38:VOK38"/>
    <mergeCell ref="VOL38:VOT38"/>
    <mergeCell ref="VOU38:VPC38"/>
    <mergeCell ref="VPD38:VPL38"/>
    <mergeCell ref="VMA38:VMI38"/>
    <mergeCell ref="VMJ38:VMR38"/>
    <mergeCell ref="VMS38:VNA38"/>
    <mergeCell ref="VNB38:VNJ38"/>
    <mergeCell ref="VNK38:VNS38"/>
    <mergeCell ref="VKH38:VKP38"/>
    <mergeCell ref="VKQ38:VKY38"/>
    <mergeCell ref="VKZ38:VLH38"/>
    <mergeCell ref="VLI38:VLQ38"/>
    <mergeCell ref="VLR38:VLZ38"/>
    <mergeCell ref="VIO38:VIW38"/>
    <mergeCell ref="VIX38:VJF38"/>
    <mergeCell ref="VJG38:VJO38"/>
    <mergeCell ref="VJP38:VJX38"/>
    <mergeCell ref="VJY38:VKG38"/>
    <mergeCell ref="VGV38:VHD38"/>
    <mergeCell ref="VHE38:VHM38"/>
    <mergeCell ref="VHN38:VHV38"/>
    <mergeCell ref="VHW38:VIE38"/>
    <mergeCell ref="VIF38:VIN38"/>
    <mergeCell ref="VFC38:VFK38"/>
    <mergeCell ref="VFL38:VFT38"/>
    <mergeCell ref="VFU38:VGC38"/>
    <mergeCell ref="VGD38:VGL38"/>
    <mergeCell ref="VGM38:VGU38"/>
    <mergeCell ref="VDJ38:VDR38"/>
    <mergeCell ref="VDS38:VEA38"/>
    <mergeCell ref="VEB38:VEJ38"/>
    <mergeCell ref="VEK38:VES38"/>
    <mergeCell ref="VET38:VFB38"/>
    <mergeCell ref="VBQ38:VBY38"/>
    <mergeCell ref="VBZ38:VCH38"/>
    <mergeCell ref="VCI38:VCQ38"/>
    <mergeCell ref="VCR38:VCZ38"/>
    <mergeCell ref="VDA38:VDI38"/>
    <mergeCell ref="UZX38:VAF38"/>
    <mergeCell ref="VAG38:VAO38"/>
    <mergeCell ref="VAP38:VAX38"/>
    <mergeCell ref="VAY38:VBG38"/>
    <mergeCell ref="VBH38:VBP38"/>
    <mergeCell ref="UYE38:UYM38"/>
    <mergeCell ref="UYN38:UYV38"/>
    <mergeCell ref="UYW38:UZE38"/>
    <mergeCell ref="UZF38:UZN38"/>
    <mergeCell ref="UZO38:UZW38"/>
    <mergeCell ref="UWL38:UWT38"/>
    <mergeCell ref="UWU38:UXC38"/>
    <mergeCell ref="UXD38:UXL38"/>
    <mergeCell ref="UXM38:UXU38"/>
    <mergeCell ref="UXV38:UYD38"/>
    <mergeCell ref="UUS38:UVA38"/>
    <mergeCell ref="UVB38:UVJ38"/>
    <mergeCell ref="UVK38:UVS38"/>
    <mergeCell ref="UVT38:UWB38"/>
    <mergeCell ref="UWC38:UWK38"/>
    <mergeCell ref="USZ38:UTH38"/>
    <mergeCell ref="UTI38:UTQ38"/>
    <mergeCell ref="UTR38:UTZ38"/>
    <mergeCell ref="UUA38:UUI38"/>
    <mergeCell ref="UUJ38:UUR38"/>
    <mergeCell ref="URG38:URO38"/>
    <mergeCell ref="URP38:URX38"/>
    <mergeCell ref="URY38:USG38"/>
    <mergeCell ref="USH38:USP38"/>
    <mergeCell ref="USQ38:USY38"/>
    <mergeCell ref="UPN38:UPV38"/>
    <mergeCell ref="UPW38:UQE38"/>
    <mergeCell ref="UQF38:UQN38"/>
    <mergeCell ref="UQO38:UQW38"/>
    <mergeCell ref="UQX38:URF38"/>
    <mergeCell ref="UNU38:UOC38"/>
    <mergeCell ref="UOD38:UOL38"/>
    <mergeCell ref="UOM38:UOU38"/>
    <mergeCell ref="UOV38:UPD38"/>
    <mergeCell ref="UPE38:UPM38"/>
    <mergeCell ref="UMB38:UMJ38"/>
    <mergeCell ref="UMK38:UMS38"/>
    <mergeCell ref="UMT38:UNB38"/>
    <mergeCell ref="UNC38:UNK38"/>
    <mergeCell ref="UNL38:UNT38"/>
    <mergeCell ref="UKI38:UKQ38"/>
    <mergeCell ref="UKR38:UKZ38"/>
    <mergeCell ref="ULA38:ULI38"/>
    <mergeCell ref="ULJ38:ULR38"/>
    <mergeCell ref="ULS38:UMA38"/>
    <mergeCell ref="UIP38:UIX38"/>
    <mergeCell ref="UIY38:UJG38"/>
    <mergeCell ref="UJH38:UJP38"/>
    <mergeCell ref="UJQ38:UJY38"/>
    <mergeCell ref="UJZ38:UKH38"/>
    <mergeCell ref="UGW38:UHE38"/>
    <mergeCell ref="UHF38:UHN38"/>
    <mergeCell ref="UHO38:UHW38"/>
    <mergeCell ref="UHX38:UIF38"/>
    <mergeCell ref="UIG38:UIO38"/>
    <mergeCell ref="UFD38:UFL38"/>
    <mergeCell ref="UFM38:UFU38"/>
    <mergeCell ref="UFV38:UGD38"/>
    <mergeCell ref="UGE38:UGM38"/>
    <mergeCell ref="UGN38:UGV38"/>
    <mergeCell ref="UDK38:UDS38"/>
    <mergeCell ref="UDT38:UEB38"/>
    <mergeCell ref="UEC38:UEK38"/>
    <mergeCell ref="UEL38:UET38"/>
    <mergeCell ref="UEU38:UFC38"/>
    <mergeCell ref="UBR38:UBZ38"/>
    <mergeCell ref="UCA38:UCI38"/>
    <mergeCell ref="UCJ38:UCR38"/>
    <mergeCell ref="UCS38:UDA38"/>
    <mergeCell ref="UDB38:UDJ38"/>
    <mergeCell ref="TZY38:UAG38"/>
    <mergeCell ref="UAH38:UAP38"/>
    <mergeCell ref="UAQ38:UAY38"/>
    <mergeCell ref="UAZ38:UBH38"/>
    <mergeCell ref="UBI38:UBQ38"/>
    <mergeCell ref="TYF38:TYN38"/>
    <mergeCell ref="TYO38:TYW38"/>
    <mergeCell ref="TYX38:TZF38"/>
    <mergeCell ref="TZG38:TZO38"/>
    <mergeCell ref="TZP38:TZX38"/>
    <mergeCell ref="TWM38:TWU38"/>
    <mergeCell ref="TWV38:TXD38"/>
    <mergeCell ref="TXE38:TXM38"/>
    <mergeCell ref="TXN38:TXV38"/>
    <mergeCell ref="TXW38:TYE38"/>
    <mergeCell ref="TUT38:TVB38"/>
    <mergeCell ref="TVC38:TVK38"/>
    <mergeCell ref="TVL38:TVT38"/>
    <mergeCell ref="TVU38:TWC38"/>
    <mergeCell ref="TWD38:TWL38"/>
    <mergeCell ref="TTA38:TTI38"/>
    <mergeCell ref="TTJ38:TTR38"/>
    <mergeCell ref="TTS38:TUA38"/>
    <mergeCell ref="TUB38:TUJ38"/>
    <mergeCell ref="TUK38:TUS38"/>
    <mergeCell ref="TRH38:TRP38"/>
    <mergeCell ref="TRQ38:TRY38"/>
    <mergeCell ref="TRZ38:TSH38"/>
    <mergeCell ref="TSI38:TSQ38"/>
    <mergeCell ref="TSR38:TSZ38"/>
    <mergeCell ref="TPO38:TPW38"/>
    <mergeCell ref="TPX38:TQF38"/>
    <mergeCell ref="TQG38:TQO38"/>
    <mergeCell ref="TQP38:TQX38"/>
    <mergeCell ref="TQY38:TRG38"/>
    <mergeCell ref="TNV38:TOD38"/>
    <mergeCell ref="TOE38:TOM38"/>
    <mergeCell ref="TON38:TOV38"/>
    <mergeCell ref="TOW38:TPE38"/>
    <mergeCell ref="TPF38:TPN38"/>
    <mergeCell ref="TMC38:TMK38"/>
    <mergeCell ref="TML38:TMT38"/>
    <mergeCell ref="TMU38:TNC38"/>
    <mergeCell ref="TND38:TNL38"/>
    <mergeCell ref="TNM38:TNU38"/>
    <mergeCell ref="TKJ38:TKR38"/>
    <mergeCell ref="TKS38:TLA38"/>
    <mergeCell ref="TLB38:TLJ38"/>
    <mergeCell ref="TLK38:TLS38"/>
    <mergeCell ref="TLT38:TMB38"/>
    <mergeCell ref="TIQ38:TIY38"/>
    <mergeCell ref="TIZ38:TJH38"/>
    <mergeCell ref="TJI38:TJQ38"/>
    <mergeCell ref="TJR38:TJZ38"/>
    <mergeCell ref="TKA38:TKI38"/>
    <mergeCell ref="TGX38:THF38"/>
    <mergeCell ref="THG38:THO38"/>
    <mergeCell ref="THP38:THX38"/>
    <mergeCell ref="THY38:TIG38"/>
    <mergeCell ref="TIH38:TIP38"/>
    <mergeCell ref="TFE38:TFM38"/>
    <mergeCell ref="TFN38:TFV38"/>
    <mergeCell ref="TFW38:TGE38"/>
    <mergeCell ref="TGF38:TGN38"/>
    <mergeCell ref="TGO38:TGW38"/>
    <mergeCell ref="TDL38:TDT38"/>
    <mergeCell ref="TDU38:TEC38"/>
    <mergeCell ref="TED38:TEL38"/>
    <mergeCell ref="TEM38:TEU38"/>
    <mergeCell ref="TEV38:TFD38"/>
    <mergeCell ref="TBS38:TCA38"/>
    <mergeCell ref="TCB38:TCJ38"/>
    <mergeCell ref="TCK38:TCS38"/>
    <mergeCell ref="TCT38:TDB38"/>
    <mergeCell ref="TDC38:TDK38"/>
    <mergeCell ref="SZZ38:TAH38"/>
    <mergeCell ref="TAI38:TAQ38"/>
    <mergeCell ref="TAR38:TAZ38"/>
    <mergeCell ref="TBA38:TBI38"/>
    <mergeCell ref="TBJ38:TBR38"/>
    <mergeCell ref="SYG38:SYO38"/>
    <mergeCell ref="SYP38:SYX38"/>
    <mergeCell ref="SYY38:SZG38"/>
    <mergeCell ref="SZH38:SZP38"/>
    <mergeCell ref="SZQ38:SZY38"/>
    <mergeCell ref="SWN38:SWV38"/>
    <mergeCell ref="SWW38:SXE38"/>
    <mergeCell ref="SXF38:SXN38"/>
    <mergeCell ref="SXO38:SXW38"/>
    <mergeCell ref="SXX38:SYF38"/>
    <mergeCell ref="SUU38:SVC38"/>
    <mergeCell ref="SVD38:SVL38"/>
    <mergeCell ref="SVM38:SVU38"/>
    <mergeCell ref="SVV38:SWD38"/>
    <mergeCell ref="SWE38:SWM38"/>
    <mergeCell ref="STB38:STJ38"/>
    <mergeCell ref="STK38:STS38"/>
    <mergeCell ref="STT38:SUB38"/>
    <mergeCell ref="SUC38:SUK38"/>
    <mergeCell ref="SUL38:SUT38"/>
    <mergeCell ref="SRI38:SRQ38"/>
    <mergeCell ref="SRR38:SRZ38"/>
    <mergeCell ref="SSA38:SSI38"/>
    <mergeCell ref="SSJ38:SSR38"/>
    <mergeCell ref="SSS38:STA38"/>
    <mergeCell ref="SPP38:SPX38"/>
    <mergeCell ref="SPY38:SQG38"/>
    <mergeCell ref="SQH38:SQP38"/>
    <mergeCell ref="SQQ38:SQY38"/>
    <mergeCell ref="SQZ38:SRH38"/>
    <mergeCell ref="SNW38:SOE38"/>
    <mergeCell ref="SOF38:SON38"/>
    <mergeCell ref="SOO38:SOW38"/>
    <mergeCell ref="SOX38:SPF38"/>
    <mergeCell ref="SPG38:SPO38"/>
    <mergeCell ref="SMD38:SML38"/>
    <mergeCell ref="SMM38:SMU38"/>
    <mergeCell ref="SMV38:SND38"/>
    <mergeCell ref="SNE38:SNM38"/>
    <mergeCell ref="SNN38:SNV38"/>
    <mergeCell ref="SKK38:SKS38"/>
    <mergeCell ref="SKT38:SLB38"/>
    <mergeCell ref="SLC38:SLK38"/>
    <mergeCell ref="SLL38:SLT38"/>
    <mergeCell ref="SLU38:SMC38"/>
    <mergeCell ref="SIR38:SIZ38"/>
    <mergeCell ref="SJA38:SJI38"/>
    <mergeCell ref="SJJ38:SJR38"/>
    <mergeCell ref="SJS38:SKA38"/>
    <mergeCell ref="SKB38:SKJ38"/>
    <mergeCell ref="SGY38:SHG38"/>
    <mergeCell ref="SHH38:SHP38"/>
    <mergeCell ref="SHQ38:SHY38"/>
    <mergeCell ref="SHZ38:SIH38"/>
    <mergeCell ref="SII38:SIQ38"/>
    <mergeCell ref="SFF38:SFN38"/>
    <mergeCell ref="SFO38:SFW38"/>
    <mergeCell ref="SFX38:SGF38"/>
    <mergeCell ref="SGG38:SGO38"/>
    <mergeCell ref="SGP38:SGX38"/>
    <mergeCell ref="SDM38:SDU38"/>
    <mergeCell ref="SDV38:SED38"/>
    <mergeCell ref="SEE38:SEM38"/>
    <mergeCell ref="SEN38:SEV38"/>
    <mergeCell ref="SEW38:SFE38"/>
    <mergeCell ref="SBT38:SCB38"/>
    <mergeCell ref="SCC38:SCK38"/>
    <mergeCell ref="SCL38:SCT38"/>
    <mergeCell ref="SCU38:SDC38"/>
    <mergeCell ref="SDD38:SDL38"/>
    <mergeCell ref="SAA38:SAI38"/>
    <mergeCell ref="SAJ38:SAR38"/>
    <mergeCell ref="SAS38:SBA38"/>
    <mergeCell ref="SBB38:SBJ38"/>
    <mergeCell ref="SBK38:SBS38"/>
    <mergeCell ref="RYH38:RYP38"/>
    <mergeCell ref="RYQ38:RYY38"/>
    <mergeCell ref="RYZ38:RZH38"/>
    <mergeCell ref="RZI38:RZQ38"/>
    <mergeCell ref="RZR38:RZZ38"/>
    <mergeCell ref="RWO38:RWW38"/>
    <mergeCell ref="RWX38:RXF38"/>
    <mergeCell ref="RXG38:RXO38"/>
    <mergeCell ref="RXP38:RXX38"/>
    <mergeCell ref="RXY38:RYG38"/>
    <mergeCell ref="RUV38:RVD38"/>
    <mergeCell ref="RVE38:RVM38"/>
    <mergeCell ref="RVN38:RVV38"/>
    <mergeCell ref="RVW38:RWE38"/>
    <mergeCell ref="RWF38:RWN38"/>
    <mergeCell ref="RTC38:RTK38"/>
    <mergeCell ref="RTL38:RTT38"/>
    <mergeCell ref="RTU38:RUC38"/>
    <mergeCell ref="RUD38:RUL38"/>
    <mergeCell ref="RUM38:RUU38"/>
    <mergeCell ref="RRJ38:RRR38"/>
    <mergeCell ref="RRS38:RSA38"/>
    <mergeCell ref="RSB38:RSJ38"/>
    <mergeCell ref="RSK38:RSS38"/>
    <mergeCell ref="RST38:RTB38"/>
    <mergeCell ref="RPQ38:RPY38"/>
    <mergeCell ref="RPZ38:RQH38"/>
    <mergeCell ref="RQI38:RQQ38"/>
    <mergeCell ref="RQR38:RQZ38"/>
    <mergeCell ref="RRA38:RRI38"/>
    <mergeCell ref="RNX38:ROF38"/>
    <mergeCell ref="ROG38:ROO38"/>
    <mergeCell ref="ROP38:ROX38"/>
    <mergeCell ref="ROY38:RPG38"/>
    <mergeCell ref="RPH38:RPP38"/>
    <mergeCell ref="RME38:RMM38"/>
    <mergeCell ref="RMN38:RMV38"/>
    <mergeCell ref="RMW38:RNE38"/>
    <mergeCell ref="RNF38:RNN38"/>
    <mergeCell ref="RNO38:RNW38"/>
    <mergeCell ref="RKL38:RKT38"/>
    <mergeCell ref="RKU38:RLC38"/>
    <mergeCell ref="RLD38:RLL38"/>
    <mergeCell ref="RLM38:RLU38"/>
    <mergeCell ref="RLV38:RMD38"/>
    <mergeCell ref="RIS38:RJA38"/>
    <mergeCell ref="RJB38:RJJ38"/>
    <mergeCell ref="RJK38:RJS38"/>
    <mergeCell ref="RJT38:RKB38"/>
    <mergeCell ref="RKC38:RKK38"/>
    <mergeCell ref="RGZ38:RHH38"/>
    <mergeCell ref="RHI38:RHQ38"/>
    <mergeCell ref="RHR38:RHZ38"/>
    <mergeCell ref="RIA38:RII38"/>
    <mergeCell ref="RIJ38:RIR38"/>
    <mergeCell ref="RFG38:RFO38"/>
    <mergeCell ref="RFP38:RFX38"/>
    <mergeCell ref="RFY38:RGG38"/>
    <mergeCell ref="RGH38:RGP38"/>
    <mergeCell ref="RGQ38:RGY38"/>
    <mergeCell ref="RDN38:RDV38"/>
    <mergeCell ref="RDW38:REE38"/>
    <mergeCell ref="REF38:REN38"/>
    <mergeCell ref="REO38:REW38"/>
    <mergeCell ref="REX38:RFF38"/>
    <mergeCell ref="RBU38:RCC38"/>
    <mergeCell ref="RCD38:RCL38"/>
    <mergeCell ref="RCM38:RCU38"/>
    <mergeCell ref="RCV38:RDD38"/>
    <mergeCell ref="RDE38:RDM38"/>
    <mergeCell ref="RAB38:RAJ38"/>
    <mergeCell ref="RAK38:RAS38"/>
    <mergeCell ref="RAT38:RBB38"/>
    <mergeCell ref="RBC38:RBK38"/>
    <mergeCell ref="RBL38:RBT38"/>
    <mergeCell ref="QYI38:QYQ38"/>
    <mergeCell ref="QYR38:QYZ38"/>
    <mergeCell ref="QZA38:QZI38"/>
    <mergeCell ref="QZJ38:QZR38"/>
    <mergeCell ref="QZS38:RAA38"/>
    <mergeCell ref="QWP38:QWX38"/>
    <mergeCell ref="QWY38:QXG38"/>
    <mergeCell ref="QXH38:QXP38"/>
    <mergeCell ref="QXQ38:QXY38"/>
    <mergeCell ref="QXZ38:QYH38"/>
    <mergeCell ref="QUW38:QVE38"/>
    <mergeCell ref="QVF38:QVN38"/>
    <mergeCell ref="QVO38:QVW38"/>
    <mergeCell ref="QVX38:QWF38"/>
    <mergeCell ref="QWG38:QWO38"/>
    <mergeCell ref="QTD38:QTL38"/>
    <mergeCell ref="QTM38:QTU38"/>
    <mergeCell ref="QTV38:QUD38"/>
    <mergeCell ref="QUE38:QUM38"/>
    <mergeCell ref="QUN38:QUV38"/>
    <mergeCell ref="QRK38:QRS38"/>
    <mergeCell ref="QRT38:QSB38"/>
    <mergeCell ref="QSC38:QSK38"/>
    <mergeCell ref="QSL38:QST38"/>
    <mergeCell ref="QSU38:QTC38"/>
    <mergeCell ref="QPR38:QPZ38"/>
    <mergeCell ref="QQA38:QQI38"/>
    <mergeCell ref="QQJ38:QQR38"/>
    <mergeCell ref="QQS38:QRA38"/>
    <mergeCell ref="QRB38:QRJ38"/>
    <mergeCell ref="QNY38:QOG38"/>
    <mergeCell ref="QOH38:QOP38"/>
    <mergeCell ref="QOQ38:QOY38"/>
    <mergeCell ref="QOZ38:QPH38"/>
    <mergeCell ref="QPI38:QPQ38"/>
    <mergeCell ref="QMF38:QMN38"/>
    <mergeCell ref="QMO38:QMW38"/>
    <mergeCell ref="QMX38:QNF38"/>
    <mergeCell ref="QNG38:QNO38"/>
    <mergeCell ref="QNP38:QNX38"/>
    <mergeCell ref="QKM38:QKU38"/>
    <mergeCell ref="QKV38:QLD38"/>
    <mergeCell ref="QLE38:QLM38"/>
    <mergeCell ref="QLN38:QLV38"/>
    <mergeCell ref="QLW38:QME38"/>
    <mergeCell ref="QIT38:QJB38"/>
    <mergeCell ref="QJC38:QJK38"/>
    <mergeCell ref="QJL38:QJT38"/>
    <mergeCell ref="QJU38:QKC38"/>
    <mergeCell ref="QKD38:QKL38"/>
    <mergeCell ref="QHA38:QHI38"/>
    <mergeCell ref="QHJ38:QHR38"/>
    <mergeCell ref="QHS38:QIA38"/>
    <mergeCell ref="QIB38:QIJ38"/>
    <mergeCell ref="QIK38:QIS38"/>
    <mergeCell ref="QFH38:QFP38"/>
    <mergeCell ref="QFQ38:QFY38"/>
    <mergeCell ref="QFZ38:QGH38"/>
    <mergeCell ref="QGI38:QGQ38"/>
    <mergeCell ref="QGR38:QGZ38"/>
    <mergeCell ref="QDO38:QDW38"/>
    <mergeCell ref="QDX38:QEF38"/>
    <mergeCell ref="QEG38:QEO38"/>
    <mergeCell ref="QEP38:QEX38"/>
    <mergeCell ref="QEY38:QFG38"/>
    <mergeCell ref="QBV38:QCD38"/>
    <mergeCell ref="QCE38:QCM38"/>
    <mergeCell ref="QCN38:QCV38"/>
    <mergeCell ref="QCW38:QDE38"/>
    <mergeCell ref="QDF38:QDN38"/>
    <mergeCell ref="QAC38:QAK38"/>
    <mergeCell ref="QAL38:QAT38"/>
    <mergeCell ref="QAU38:QBC38"/>
    <mergeCell ref="QBD38:QBL38"/>
    <mergeCell ref="QBM38:QBU38"/>
    <mergeCell ref="PYJ38:PYR38"/>
    <mergeCell ref="PYS38:PZA38"/>
    <mergeCell ref="PZB38:PZJ38"/>
    <mergeCell ref="PZK38:PZS38"/>
    <mergeCell ref="PZT38:QAB38"/>
    <mergeCell ref="PWQ38:PWY38"/>
    <mergeCell ref="PWZ38:PXH38"/>
    <mergeCell ref="PXI38:PXQ38"/>
    <mergeCell ref="PXR38:PXZ38"/>
    <mergeCell ref="PYA38:PYI38"/>
    <mergeCell ref="PUX38:PVF38"/>
    <mergeCell ref="PVG38:PVO38"/>
    <mergeCell ref="PVP38:PVX38"/>
    <mergeCell ref="PVY38:PWG38"/>
    <mergeCell ref="PWH38:PWP38"/>
    <mergeCell ref="PTE38:PTM38"/>
    <mergeCell ref="PTN38:PTV38"/>
    <mergeCell ref="PTW38:PUE38"/>
    <mergeCell ref="PUF38:PUN38"/>
    <mergeCell ref="PUO38:PUW38"/>
    <mergeCell ref="PRL38:PRT38"/>
    <mergeCell ref="PRU38:PSC38"/>
    <mergeCell ref="PSD38:PSL38"/>
    <mergeCell ref="PSM38:PSU38"/>
    <mergeCell ref="PSV38:PTD38"/>
    <mergeCell ref="PPS38:PQA38"/>
    <mergeCell ref="PQB38:PQJ38"/>
    <mergeCell ref="PQK38:PQS38"/>
    <mergeCell ref="PQT38:PRB38"/>
    <mergeCell ref="PRC38:PRK38"/>
    <mergeCell ref="PNZ38:POH38"/>
    <mergeCell ref="POI38:POQ38"/>
    <mergeCell ref="POR38:POZ38"/>
    <mergeCell ref="PPA38:PPI38"/>
    <mergeCell ref="PPJ38:PPR38"/>
    <mergeCell ref="PMG38:PMO38"/>
    <mergeCell ref="PMP38:PMX38"/>
    <mergeCell ref="PMY38:PNG38"/>
    <mergeCell ref="PNH38:PNP38"/>
    <mergeCell ref="PNQ38:PNY38"/>
    <mergeCell ref="PKN38:PKV38"/>
    <mergeCell ref="PKW38:PLE38"/>
    <mergeCell ref="PLF38:PLN38"/>
    <mergeCell ref="PLO38:PLW38"/>
    <mergeCell ref="PLX38:PMF38"/>
    <mergeCell ref="PIU38:PJC38"/>
    <mergeCell ref="PJD38:PJL38"/>
    <mergeCell ref="PJM38:PJU38"/>
    <mergeCell ref="PJV38:PKD38"/>
    <mergeCell ref="PKE38:PKM38"/>
    <mergeCell ref="PHB38:PHJ38"/>
    <mergeCell ref="PHK38:PHS38"/>
    <mergeCell ref="PHT38:PIB38"/>
    <mergeCell ref="PIC38:PIK38"/>
    <mergeCell ref="PIL38:PIT38"/>
    <mergeCell ref="PFI38:PFQ38"/>
    <mergeCell ref="PFR38:PFZ38"/>
    <mergeCell ref="PGA38:PGI38"/>
    <mergeCell ref="PGJ38:PGR38"/>
    <mergeCell ref="PGS38:PHA38"/>
    <mergeCell ref="PDP38:PDX38"/>
    <mergeCell ref="PDY38:PEG38"/>
    <mergeCell ref="PEH38:PEP38"/>
    <mergeCell ref="PEQ38:PEY38"/>
    <mergeCell ref="PEZ38:PFH38"/>
    <mergeCell ref="PBW38:PCE38"/>
    <mergeCell ref="PCF38:PCN38"/>
    <mergeCell ref="PCO38:PCW38"/>
    <mergeCell ref="PCX38:PDF38"/>
    <mergeCell ref="PDG38:PDO38"/>
    <mergeCell ref="PAD38:PAL38"/>
    <mergeCell ref="PAM38:PAU38"/>
    <mergeCell ref="PAV38:PBD38"/>
    <mergeCell ref="PBE38:PBM38"/>
    <mergeCell ref="PBN38:PBV38"/>
    <mergeCell ref="OYK38:OYS38"/>
    <mergeCell ref="OYT38:OZB38"/>
    <mergeCell ref="OZC38:OZK38"/>
    <mergeCell ref="OZL38:OZT38"/>
    <mergeCell ref="OZU38:PAC38"/>
    <mergeCell ref="OWR38:OWZ38"/>
    <mergeCell ref="OXA38:OXI38"/>
    <mergeCell ref="OXJ38:OXR38"/>
    <mergeCell ref="OXS38:OYA38"/>
    <mergeCell ref="OYB38:OYJ38"/>
    <mergeCell ref="OUY38:OVG38"/>
    <mergeCell ref="OVH38:OVP38"/>
    <mergeCell ref="OVQ38:OVY38"/>
    <mergeCell ref="OVZ38:OWH38"/>
    <mergeCell ref="OWI38:OWQ38"/>
    <mergeCell ref="OTF38:OTN38"/>
    <mergeCell ref="OTO38:OTW38"/>
    <mergeCell ref="OTX38:OUF38"/>
    <mergeCell ref="OUG38:OUO38"/>
    <mergeCell ref="OUP38:OUX38"/>
    <mergeCell ref="ORM38:ORU38"/>
    <mergeCell ref="ORV38:OSD38"/>
    <mergeCell ref="OSE38:OSM38"/>
    <mergeCell ref="OSN38:OSV38"/>
    <mergeCell ref="OSW38:OTE38"/>
    <mergeCell ref="OPT38:OQB38"/>
    <mergeCell ref="OQC38:OQK38"/>
    <mergeCell ref="OQL38:OQT38"/>
    <mergeCell ref="OQU38:ORC38"/>
    <mergeCell ref="ORD38:ORL38"/>
    <mergeCell ref="OOA38:OOI38"/>
    <mergeCell ref="OOJ38:OOR38"/>
    <mergeCell ref="OOS38:OPA38"/>
    <mergeCell ref="OPB38:OPJ38"/>
    <mergeCell ref="OPK38:OPS38"/>
    <mergeCell ref="OMH38:OMP38"/>
    <mergeCell ref="OMQ38:OMY38"/>
    <mergeCell ref="OMZ38:ONH38"/>
    <mergeCell ref="ONI38:ONQ38"/>
    <mergeCell ref="ONR38:ONZ38"/>
    <mergeCell ref="OKO38:OKW38"/>
    <mergeCell ref="OKX38:OLF38"/>
    <mergeCell ref="OLG38:OLO38"/>
    <mergeCell ref="OLP38:OLX38"/>
    <mergeCell ref="OLY38:OMG38"/>
    <mergeCell ref="OIV38:OJD38"/>
    <mergeCell ref="OJE38:OJM38"/>
    <mergeCell ref="OJN38:OJV38"/>
    <mergeCell ref="OJW38:OKE38"/>
    <mergeCell ref="OKF38:OKN38"/>
    <mergeCell ref="OHC38:OHK38"/>
    <mergeCell ref="OHL38:OHT38"/>
    <mergeCell ref="OHU38:OIC38"/>
    <mergeCell ref="OID38:OIL38"/>
    <mergeCell ref="OIM38:OIU38"/>
    <mergeCell ref="OFJ38:OFR38"/>
    <mergeCell ref="OFS38:OGA38"/>
    <mergeCell ref="OGB38:OGJ38"/>
    <mergeCell ref="OGK38:OGS38"/>
    <mergeCell ref="OGT38:OHB38"/>
    <mergeCell ref="ODQ38:ODY38"/>
    <mergeCell ref="ODZ38:OEH38"/>
    <mergeCell ref="OEI38:OEQ38"/>
    <mergeCell ref="OER38:OEZ38"/>
    <mergeCell ref="OFA38:OFI38"/>
    <mergeCell ref="OBX38:OCF38"/>
    <mergeCell ref="OCG38:OCO38"/>
    <mergeCell ref="OCP38:OCX38"/>
    <mergeCell ref="OCY38:ODG38"/>
    <mergeCell ref="ODH38:ODP38"/>
    <mergeCell ref="OAE38:OAM38"/>
    <mergeCell ref="OAN38:OAV38"/>
    <mergeCell ref="OAW38:OBE38"/>
    <mergeCell ref="OBF38:OBN38"/>
    <mergeCell ref="OBO38:OBW38"/>
    <mergeCell ref="NYL38:NYT38"/>
    <mergeCell ref="NYU38:NZC38"/>
    <mergeCell ref="NZD38:NZL38"/>
    <mergeCell ref="NZM38:NZU38"/>
    <mergeCell ref="NZV38:OAD38"/>
    <mergeCell ref="NWS38:NXA38"/>
    <mergeCell ref="NXB38:NXJ38"/>
    <mergeCell ref="NXK38:NXS38"/>
    <mergeCell ref="NXT38:NYB38"/>
    <mergeCell ref="NYC38:NYK38"/>
    <mergeCell ref="NUZ38:NVH38"/>
    <mergeCell ref="NVI38:NVQ38"/>
    <mergeCell ref="NVR38:NVZ38"/>
    <mergeCell ref="NWA38:NWI38"/>
    <mergeCell ref="NWJ38:NWR38"/>
    <mergeCell ref="NTG38:NTO38"/>
    <mergeCell ref="NTP38:NTX38"/>
    <mergeCell ref="NTY38:NUG38"/>
    <mergeCell ref="NUH38:NUP38"/>
    <mergeCell ref="NUQ38:NUY38"/>
    <mergeCell ref="NRN38:NRV38"/>
    <mergeCell ref="NRW38:NSE38"/>
    <mergeCell ref="NSF38:NSN38"/>
    <mergeCell ref="NSO38:NSW38"/>
    <mergeCell ref="NSX38:NTF38"/>
    <mergeCell ref="NPU38:NQC38"/>
    <mergeCell ref="NQD38:NQL38"/>
    <mergeCell ref="NQM38:NQU38"/>
    <mergeCell ref="NQV38:NRD38"/>
    <mergeCell ref="NRE38:NRM38"/>
    <mergeCell ref="NOB38:NOJ38"/>
    <mergeCell ref="NOK38:NOS38"/>
    <mergeCell ref="NOT38:NPB38"/>
    <mergeCell ref="NPC38:NPK38"/>
    <mergeCell ref="NPL38:NPT38"/>
    <mergeCell ref="NMI38:NMQ38"/>
    <mergeCell ref="NMR38:NMZ38"/>
    <mergeCell ref="NNA38:NNI38"/>
    <mergeCell ref="NNJ38:NNR38"/>
    <mergeCell ref="NNS38:NOA38"/>
    <mergeCell ref="NKP38:NKX38"/>
    <mergeCell ref="NKY38:NLG38"/>
    <mergeCell ref="NLH38:NLP38"/>
    <mergeCell ref="NLQ38:NLY38"/>
    <mergeCell ref="NLZ38:NMH38"/>
    <mergeCell ref="NIW38:NJE38"/>
    <mergeCell ref="NJF38:NJN38"/>
    <mergeCell ref="NJO38:NJW38"/>
    <mergeCell ref="NJX38:NKF38"/>
    <mergeCell ref="NKG38:NKO38"/>
    <mergeCell ref="NHD38:NHL38"/>
    <mergeCell ref="NHM38:NHU38"/>
    <mergeCell ref="NHV38:NID38"/>
    <mergeCell ref="NIE38:NIM38"/>
    <mergeCell ref="NIN38:NIV38"/>
    <mergeCell ref="NFK38:NFS38"/>
    <mergeCell ref="NFT38:NGB38"/>
    <mergeCell ref="NGC38:NGK38"/>
    <mergeCell ref="NGL38:NGT38"/>
    <mergeCell ref="NGU38:NHC38"/>
    <mergeCell ref="NDR38:NDZ38"/>
    <mergeCell ref="NEA38:NEI38"/>
    <mergeCell ref="NEJ38:NER38"/>
    <mergeCell ref="NES38:NFA38"/>
    <mergeCell ref="NFB38:NFJ38"/>
    <mergeCell ref="NBY38:NCG38"/>
    <mergeCell ref="NCH38:NCP38"/>
    <mergeCell ref="NCQ38:NCY38"/>
    <mergeCell ref="NCZ38:NDH38"/>
    <mergeCell ref="NDI38:NDQ38"/>
    <mergeCell ref="NAF38:NAN38"/>
    <mergeCell ref="NAO38:NAW38"/>
    <mergeCell ref="NAX38:NBF38"/>
    <mergeCell ref="NBG38:NBO38"/>
    <mergeCell ref="NBP38:NBX38"/>
    <mergeCell ref="MYM38:MYU38"/>
    <mergeCell ref="MYV38:MZD38"/>
    <mergeCell ref="MZE38:MZM38"/>
    <mergeCell ref="MZN38:MZV38"/>
    <mergeCell ref="MZW38:NAE38"/>
    <mergeCell ref="MWT38:MXB38"/>
    <mergeCell ref="MXC38:MXK38"/>
    <mergeCell ref="MXL38:MXT38"/>
    <mergeCell ref="MXU38:MYC38"/>
    <mergeCell ref="MYD38:MYL38"/>
    <mergeCell ref="MVA38:MVI38"/>
    <mergeCell ref="MVJ38:MVR38"/>
    <mergeCell ref="MVS38:MWA38"/>
    <mergeCell ref="MWB38:MWJ38"/>
    <mergeCell ref="MWK38:MWS38"/>
    <mergeCell ref="MTH38:MTP38"/>
    <mergeCell ref="MTQ38:MTY38"/>
    <mergeCell ref="MTZ38:MUH38"/>
    <mergeCell ref="MUI38:MUQ38"/>
    <mergeCell ref="MUR38:MUZ38"/>
    <mergeCell ref="MRO38:MRW38"/>
    <mergeCell ref="MRX38:MSF38"/>
    <mergeCell ref="MSG38:MSO38"/>
    <mergeCell ref="MSP38:MSX38"/>
    <mergeCell ref="MSY38:MTG38"/>
    <mergeCell ref="MPV38:MQD38"/>
    <mergeCell ref="MQE38:MQM38"/>
    <mergeCell ref="MQN38:MQV38"/>
    <mergeCell ref="MQW38:MRE38"/>
    <mergeCell ref="MRF38:MRN38"/>
    <mergeCell ref="MOC38:MOK38"/>
    <mergeCell ref="MOL38:MOT38"/>
    <mergeCell ref="MOU38:MPC38"/>
    <mergeCell ref="MPD38:MPL38"/>
    <mergeCell ref="MPM38:MPU38"/>
    <mergeCell ref="MMJ38:MMR38"/>
    <mergeCell ref="MMS38:MNA38"/>
    <mergeCell ref="MNB38:MNJ38"/>
    <mergeCell ref="MNK38:MNS38"/>
    <mergeCell ref="MNT38:MOB38"/>
    <mergeCell ref="MKQ38:MKY38"/>
    <mergeCell ref="MKZ38:MLH38"/>
    <mergeCell ref="MLI38:MLQ38"/>
    <mergeCell ref="MLR38:MLZ38"/>
    <mergeCell ref="MMA38:MMI38"/>
    <mergeCell ref="MIX38:MJF38"/>
    <mergeCell ref="MJG38:MJO38"/>
    <mergeCell ref="MJP38:MJX38"/>
    <mergeCell ref="MJY38:MKG38"/>
    <mergeCell ref="MKH38:MKP38"/>
    <mergeCell ref="MHE38:MHM38"/>
    <mergeCell ref="MHN38:MHV38"/>
    <mergeCell ref="MHW38:MIE38"/>
    <mergeCell ref="MIF38:MIN38"/>
    <mergeCell ref="MIO38:MIW38"/>
    <mergeCell ref="MFL38:MFT38"/>
    <mergeCell ref="MFU38:MGC38"/>
    <mergeCell ref="MGD38:MGL38"/>
    <mergeCell ref="MGM38:MGU38"/>
    <mergeCell ref="MGV38:MHD38"/>
    <mergeCell ref="MDS38:MEA38"/>
    <mergeCell ref="MEB38:MEJ38"/>
    <mergeCell ref="MEK38:MES38"/>
    <mergeCell ref="MET38:MFB38"/>
    <mergeCell ref="MFC38:MFK38"/>
    <mergeCell ref="MBZ38:MCH38"/>
    <mergeCell ref="MCI38:MCQ38"/>
    <mergeCell ref="MCR38:MCZ38"/>
    <mergeCell ref="MDA38:MDI38"/>
    <mergeCell ref="MDJ38:MDR38"/>
    <mergeCell ref="MAG38:MAO38"/>
    <mergeCell ref="MAP38:MAX38"/>
    <mergeCell ref="MAY38:MBG38"/>
    <mergeCell ref="MBH38:MBP38"/>
    <mergeCell ref="MBQ38:MBY38"/>
    <mergeCell ref="LYN38:LYV38"/>
    <mergeCell ref="LYW38:LZE38"/>
    <mergeCell ref="LZF38:LZN38"/>
    <mergeCell ref="LZO38:LZW38"/>
    <mergeCell ref="LZX38:MAF38"/>
    <mergeCell ref="LWU38:LXC38"/>
    <mergeCell ref="LXD38:LXL38"/>
    <mergeCell ref="LXM38:LXU38"/>
    <mergeCell ref="LXV38:LYD38"/>
    <mergeCell ref="LYE38:LYM38"/>
    <mergeCell ref="LVB38:LVJ38"/>
    <mergeCell ref="LVK38:LVS38"/>
    <mergeCell ref="LVT38:LWB38"/>
    <mergeCell ref="LWC38:LWK38"/>
    <mergeCell ref="LWL38:LWT38"/>
    <mergeCell ref="LTI38:LTQ38"/>
    <mergeCell ref="LTR38:LTZ38"/>
    <mergeCell ref="LUA38:LUI38"/>
    <mergeCell ref="LUJ38:LUR38"/>
    <mergeCell ref="LUS38:LVA38"/>
    <mergeCell ref="LRP38:LRX38"/>
    <mergeCell ref="LRY38:LSG38"/>
    <mergeCell ref="LSH38:LSP38"/>
    <mergeCell ref="LSQ38:LSY38"/>
    <mergeCell ref="LSZ38:LTH38"/>
    <mergeCell ref="LPW38:LQE38"/>
    <mergeCell ref="LQF38:LQN38"/>
    <mergeCell ref="LQO38:LQW38"/>
    <mergeCell ref="LQX38:LRF38"/>
    <mergeCell ref="LRG38:LRO38"/>
    <mergeCell ref="LOD38:LOL38"/>
    <mergeCell ref="LOM38:LOU38"/>
    <mergeCell ref="LOV38:LPD38"/>
    <mergeCell ref="LPE38:LPM38"/>
    <mergeCell ref="LPN38:LPV38"/>
    <mergeCell ref="LMK38:LMS38"/>
    <mergeCell ref="LMT38:LNB38"/>
    <mergeCell ref="LNC38:LNK38"/>
    <mergeCell ref="LNL38:LNT38"/>
    <mergeCell ref="LNU38:LOC38"/>
    <mergeCell ref="LKR38:LKZ38"/>
    <mergeCell ref="LLA38:LLI38"/>
    <mergeCell ref="LLJ38:LLR38"/>
    <mergeCell ref="LLS38:LMA38"/>
    <mergeCell ref="LMB38:LMJ38"/>
    <mergeCell ref="LIY38:LJG38"/>
    <mergeCell ref="LJH38:LJP38"/>
    <mergeCell ref="LJQ38:LJY38"/>
    <mergeCell ref="LJZ38:LKH38"/>
    <mergeCell ref="LKI38:LKQ38"/>
    <mergeCell ref="LHF38:LHN38"/>
    <mergeCell ref="LHO38:LHW38"/>
    <mergeCell ref="LHX38:LIF38"/>
    <mergeCell ref="LIG38:LIO38"/>
    <mergeCell ref="LIP38:LIX38"/>
    <mergeCell ref="LFM38:LFU38"/>
    <mergeCell ref="LFV38:LGD38"/>
    <mergeCell ref="LGE38:LGM38"/>
    <mergeCell ref="LGN38:LGV38"/>
    <mergeCell ref="LGW38:LHE38"/>
    <mergeCell ref="LDT38:LEB38"/>
    <mergeCell ref="LEC38:LEK38"/>
    <mergeCell ref="LEL38:LET38"/>
    <mergeCell ref="LEU38:LFC38"/>
    <mergeCell ref="LFD38:LFL38"/>
    <mergeCell ref="LCA38:LCI38"/>
    <mergeCell ref="LCJ38:LCR38"/>
    <mergeCell ref="LCS38:LDA38"/>
    <mergeCell ref="LDB38:LDJ38"/>
    <mergeCell ref="LDK38:LDS38"/>
    <mergeCell ref="LAH38:LAP38"/>
    <mergeCell ref="LAQ38:LAY38"/>
    <mergeCell ref="LAZ38:LBH38"/>
    <mergeCell ref="LBI38:LBQ38"/>
    <mergeCell ref="LBR38:LBZ38"/>
    <mergeCell ref="KYO38:KYW38"/>
    <mergeCell ref="KYX38:KZF38"/>
    <mergeCell ref="KZG38:KZO38"/>
    <mergeCell ref="KZP38:KZX38"/>
    <mergeCell ref="KZY38:LAG38"/>
    <mergeCell ref="KWV38:KXD38"/>
    <mergeCell ref="KXE38:KXM38"/>
    <mergeCell ref="KXN38:KXV38"/>
    <mergeCell ref="KXW38:KYE38"/>
    <mergeCell ref="KYF38:KYN38"/>
    <mergeCell ref="KVC38:KVK38"/>
    <mergeCell ref="KVL38:KVT38"/>
    <mergeCell ref="KVU38:KWC38"/>
    <mergeCell ref="KWD38:KWL38"/>
    <mergeCell ref="KWM38:KWU38"/>
    <mergeCell ref="KTJ38:KTR38"/>
    <mergeCell ref="KTS38:KUA38"/>
    <mergeCell ref="KUB38:KUJ38"/>
    <mergeCell ref="KUK38:KUS38"/>
    <mergeCell ref="KUT38:KVB38"/>
    <mergeCell ref="KRQ38:KRY38"/>
    <mergeCell ref="KRZ38:KSH38"/>
    <mergeCell ref="KSI38:KSQ38"/>
    <mergeCell ref="KSR38:KSZ38"/>
    <mergeCell ref="KTA38:KTI38"/>
    <mergeCell ref="KPX38:KQF38"/>
    <mergeCell ref="KQG38:KQO38"/>
    <mergeCell ref="KQP38:KQX38"/>
    <mergeCell ref="KQY38:KRG38"/>
    <mergeCell ref="KRH38:KRP38"/>
    <mergeCell ref="KOE38:KOM38"/>
    <mergeCell ref="KON38:KOV38"/>
    <mergeCell ref="KOW38:KPE38"/>
    <mergeCell ref="KPF38:KPN38"/>
    <mergeCell ref="KPO38:KPW38"/>
    <mergeCell ref="KML38:KMT38"/>
    <mergeCell ref="KMU38:KNC38"/>
    <mergeCell ref="KND38:KNL38"/>
    <mergeCell ref="KNM38:KNU38"/>
    <mergeCell ref="KNV38:KOD38"/>
    <mergeCell ref="KKS38:KLA38"/>
    <mergeCell ref="KLB38:KLJ38"/>
    <mergeCell ref="KLK38:KLS38"/>
    <mergeCell ref="KLT38:KMB38"/>
    <mergeCell ref="KMC38:KMK38"/>
    <mergeCell ref="KIZ38:KJH38"/>
    <mergeCell ref="KJI38:KJQ38"/>
    <mergeCell ref="KJR38:KJZ38"/>
    <mergeCell ref="KKA38:KKI38"/>
    <mergeCell ref="KKJ38:KKR38"/>
    <mergeCell ref="KHG38:KHO38"/>
    <mergeCell ref="KHP38:KHX38"/>
    <mergeCell ref="KHY38:KIG38"/>
    <mergeCell ref="KIH38:KIP38"/>
    <mergeCell ref="KIQ38:KIY38"/>
    <mergeCell ref="KFN38:KFV38"/>
    <mergeCell ref="KFW38:KGE38"/>
    <mergeCell ref="KGF38:KGN38"/>
    <mergeCell ref="KGO38:KGW38"/>
    <mergeCell ref="KGX38:KHF38"/>
    <mergeCell ref="KDU38:KEC38"/>
    <mergeCell ref="KED38:KEL38"/>
    <mergeCell ref="KEM38:KEU38"/>
    <mergeCell ref="KEV38:KFD38"/>
    <mergeCell ref="KFE38:KFM38"/>
    <mergeCell ref="KCB38:KCJ38"/>
    <mergeCell ref="KCK38:KCS38"/>
    <mergeCell ref="KCT38:KDB38"/>
    <mergeCell ref="KDC38:KDK38"/>
    <mergeCell ref="KDL38:KDT38"/>
    <mergeCell ref="KAI38:KAQ38"/>
    <mergeCell ref="KAR38:KAZ38"/>
    <mergeCell ref="KBA38:KBI38"/>
    <mergeCell ref="KBJ38:KBR38"/>
    <mergeCell ref="KBS38:KCA38"/>
    <mergeCell ref="JYP38:JYX38"/>
    <mergeCell ref="JYY38:JZG38"/>
    <mergeCell ref="JZH38:JZP38"/>
    <mergeCell ref="JZQ38:JZY38"/>
    <mergeCell ref="JZZ38:KAH38"/>
    <mergeCell ref="JWW38:JXE38"/>
    <mergeCell ref="JXF38:JXN38"/>
    <mergeCell ref="JXO38:JXW38"/>
    <mergeCell ref="JXX38:JYF38"/>
    <mergeCell ref="JYG38:JYO38"/>
    <mergeCell ref="JVD38:JVL38"/>
    <mergeCell ref="JVM38:JVU38"/>
    <mergeCell ref="JVV38:JWD38"/>
    <mergeCell ref="JWE38:JWM38"/>
    <mergeCell ref="JWN38:JWV38"/>
    <mergeCell ref="JTK38:JTS38"/>
    <mergeCell ref="JTT38:JUB38"/>
    <mergeCell ref="JUC38:JUK38"/>
    <mergeCell ref="JUL38:JUT38"/>
    <mergeCell ref="JUU38:JVC38"/>
    <mergeCell ref="JRR38:JRZ38"/>
    <mergeCell ref="JSA38:JSI38"/>
    <mergeCell ref="JSJ38:JSR38"/>
    <mergeCell ref="JSS38:JTA38"/>
    <mergeCell ref="JTB38:JTJ38"/>
    <mergeCell ref="JPY38:JQG38"/>
    <mergeCell ref="JQH38:JQP38"/>
    <mergeCell ref="JQQ38:JQY38"/>
    <mergeCell ref="JQZ38:JRH38"/>
    <mergeCell ref="JRI38:JRQ38"/>
    <mergeCell ref="JOF38:JON38"/>
    <mergeCell ref="JOO38:JOW38"/>
    <mergeCell ref="JOX38:JPF38"/>
    <mergeCell ref="JPG38:JPO38"/>
    <mergeCell ref="JPP38:JPX38"/>
    <mergeCell ref="JMM38:JMU38"/>
    <mergeCell ref="JMV38:JND38"/>
    <mergeCell ref="JNE38:JNM38"/>
    <mergeCell ref="JNN38:JNV38"/>
    <mergeCell ref="JNW38:JOE38"/>
    <mergeCell ref="JKT38:JLB38"/>
    <mergeCell ref="JLC38:JLK38"/>
    <mergeCell ref="JLL38:JLT38"/>
    <mergeCell ref="JLU38:JMC38"/>
    <mergeCell ref="JMD38:JML38"/>
    <mergeCell ref="JJA38:JJI38"/>
    <mergeCell ref="JJJ38:JJR38"/>
    <mergeCell ref="JJS38:JKA38"/>
    <mergeCell ref="JKB38:JKJ38"/>
    <mergeCell ref="JKK38:JKS38"/>
    <mergeCell ref="JHH38:JHP38"/>
    <mergeCell ref="JHQ38:JHY38"/>
    <mergeCell ref="JHZ38:JIH38"/>
    <mergeCell ref="JII38:JIQ38"/>
    <mergeCell ref="JIR38:JIZ38"/>
    <mergeCell ref="JFO38:JFW38"/>
    <mergeCell ref="JFX38:JGF38"/>
    <mergeCell ref="JGG38:JGO38"/>
    <mergeCell ref="JGP38:JGX38"/>
    <mergeCell ref="JGY38:JHG38"/>
    <mergeCell ref="JDV38:JED38"/>
    <mergeCell ref="JEE38:JEM38"/>
    <mergeCell ref="JEN38:JEV38"/>
    <mergeCell ref="JEW38:JFE38"/>
    <mergeCell ref="JFF38:JFN38"/>
    <mergeCell ref="JCC38:JCK38"/>
    <mergeCell ref="JCL38:JCT38"/>
    <mergeCell ref="JCU38:JDC38"/>
    <mergeCell ref="JDD38:JDL38"/>
    <mergeCell ref="JDM38:JDU38"/>
    <mergeCell ref="JAJ38:JAR38"/>
    <mergeCell ref="JAS38:JBA38"/>
    <mergeCell ref="JBB38:JBJ38"/>
    <mergeCell ref="JBK38:JBS38"/>
    <mergeCell ref="JBT38:JCB38"/>
    <mergeCell ref="IYQ38:IYY38"/>
    <mergeCell ref="IYZ38:IZH38"/>
    <mergeCell ref="IZI38:IZQ38"/>
    <mergeCell ref="IZR38:IZZ38"/>
    <mergeCell ref="JAA38:JAI38"/>
    <mergeCell ref="IWX38:IXF38"/>
    <mergeCell ref="IXG38:IXO38"/>
    <mergeCell ref="IXP38:IXX38"/>
    <mergeCell ref="IXY38:IYG38"/>
    <mergeCell ref="IYH38:IYP38"/>
    <mergeCell ref="IVE38:IVM38"/>
    <mergeCell ref="IVN38:IVV38"/>
    <mergeCell ref="IVW38:IWE38"/>
    <mergeCell ref="IWF38:IWN38"/>
    <mergeCell ref="IWO38:IWW38"/>
    <mergeCell ref="ITL38:ITT38"/>
    <mergeCell ref="ITU38:IUC38"/>
    <mergeCell ref="IUD38:IUL38"/>
    <mergeCell ref="IUM38:IUU38"/>
    <mergeCell ref="IUV38:IVD38"/>
    <mergeCell ref="IRS38:ISA38"/>
    <mergeCell ref="ISB38:ISJ38"/>
    <mergeCell ref="ISK38:ISS38"/>
    <mergeCell ref="IST38:ITB38"/>
    <mergeCell ref="ITC38:ITK38"/>
    <mergeCell ref="IPZ38:IQH38"/>
    <mergeCell ref="IQI38:IQQ38"/>
    <mergeCell ref="IQR38:IQZ38"/>
    <mergeCell ref="IRA38:IRI38"/>
    <mergeCell ref="IRJ38:IRR38"/>
    <mergeCell ref="IOG38:IOO38"/>
    <mergeCell ref="IOP38:IOX38"/>
    <mergeCell ref="IOY38:IPG38"/>
    <mergeCell ref="IPH38:IPP38"/>
    <mergeCell ref="IPQ38:IPY38"/>
    <mergeCell ref="IMN38:IMV38"/>
    <mergeCell ref="IMW38:INE38"/>
    <mergeCell ref="INF38:INN38"/>
    <mergeCell ref="INO38:INW38"/>
    <mergeCell ref="INX38:IOF38"/>
    <mergeCell ref="IKU38:ILC38"/>
    <mergeCell ref="ILD38:ILL38"/>
    <mergeCell ref="ILM38:ILU38"/>
    <mergeCell ref="ILV38:IMD38"/>
    <mergeCell ref="IME38:IMM38"/>
    <mergeCell ref="IJB38:IJJ38"/>
    <mergeCell ref="IJK38:IJS38"/>
    <mergeCell ref="IJT38:IKB38"/>
    <mergeCell ref="IKC38:IKK38"/>
    <mergeCell ref="IKL38:IKT38"/>
    <mergeCell ref="IHI38:IHQ38"/>
    <mergeCell ref="IHR38:IHZ38"/>
    <mergeCell ref="IIA38:III38"/>
    <mergeCell ref="IIJ38:IIR38"/>
    <mergeCell ref="IIS38:IJA38"/>
    <mergeCell ref="IFP38:IFX38"/>
    <mergeCell ref="IFY38:IGG38"/>
    <mergeCell ref="IGH38:IGP38"/>
    <mergeCell ref="IGQ38:IGY38"/>
    <mergeCell ref="IGZ38:IHH38"/>
    <mergeCell ref="IDW38:IEE38"/>
    <mergeCell ref="IEF38:IEN38"/>
    <mergeCell ref="IEO38:IEW38"/>
    <mergeCell ref="IEX38:IFF38"/>
    <mergeCell ref="IFG38:IFO38"/>
    <mergeCell ref="ICD38:ICL38"/>
    <mergeCell ref="ICM38:ICU38"/>
    <mergeCell ref="ICV38:IDD38"/>
    <mergeCell ref="IDE38:IDM38"/>
    <mergeCell ref="IDN38:IDV38"/>
    <mergeCell ref="IAK38:IAS38"/>
    <mergeCell ref="IAT38:IBB38"/>
    <mergeCell ref="IBC38:IBK38"/>
    <mergeCell ref="IBL38:IBT38"/>
    <mergeCell ref="IBU38:ICC38"/>
    <mergeCell ref="HYR38:HYZ38"/>
    <mergeCell ref="HZA38:HZI38"/>
    <mergeCell ref="HZJ38:HZR38"/>
    <mergeCell ref="HZS38:IAA38"/>
    <mergeCell ref="IAB38:IAJ38"/>
    <mergeCell ref="HWY38:HXG38"/>
    <mergeCell ref="HXH38:HXP38"/>
    <mergeCell ref="HXQ38:HXY38"/>
    <mergeCell ref="HXZ38:HYH38"/>
    <mergeCell ref="HYI38:HYQ38"/>
    <mergeCell ref="HVF38:HVN38"/>
    <mergeCell ref="HVO38:HVW38"/>
    <mergeCell ref="HVX38:HWF38"/>
    <mergeCell ref="HWG38:HWO38"/>
    <mergeCell ref="HWP38:HWX38"/>
    <mergeCell ref="HTM38:HTU38"/>
    <mergeCell ref="HTV38:HUD38"/>
    <mergeCell ref="HUE38:HUM38"/>
    <mergeCell ref="HUN38:HUV38"/>
    <mergeCell ref="HUW38:HVE38"/>
    <mergeCell ref="HRT38:HSB38"/>
    <mergeCell ref="HSC38:HSK38"/>
    <mergeCell ref="HSL38:HST38"/>
    <mergeCell ref="HSU38:HTC38"/>
    <mergeCell ref="HTD38:HTL38"/>
    <mergeCell ref="HQA38:HQI38"/>
    <mergeCell ref="HQJ38:HQR38"/>
    <mergeCell ref="HQS38:HRA38"/>
    <mergeCell ref="HRB38:HRJ38"/>
    <mergeCell ref="HRK38:HRS38"/>
    <mergeCell ref="HOH38:HOP38"/>
    <mergeCell ref="HOQ38:HOY38"/>
    <mergeCell ref="HOZ38:HPH38"/>
    <mergeCell ref="HPI38:HPQ38"/>
    <mergeCell ref="HPR38:HPZ38"/>
    <mergeCell ref="HMO38:HMW38"/>
    <mergeCell ref="HMX38:HNF38"/>
    <mergeCell ref="HNG38:HNO38"/>
    <mergeCell ref="HNP38:HNX38"/>
    <mergeCell ref="HNY38:HOG38"/>
    <mergeCell ref="HKV38:HLD38"/>
    <mergeCell ref="HLE38:HLM38"/>
    <mergeCell ref="HLN38:HLV38"/>
    <mergeCell ref="HLW38:HME38"/>
    <mergeCell ref="HMF38:HMN38"/>
    <mergeCell ref="HJC38:HJK38"/>
    <mergeCell ref="HJL38:HJT38"/>
    <mergeCell ref="HJU38:HKC38"/>
    <mergeCell ref="HKD38:HKL38"/>
    <mergeCell ref="HKM38:HKU38"/>
    <mergeCell ref="HHJ38:HHR38"/>
    <mergeCell ref="HHS38:HIA38"/>
    <mergeCell ref="HIB38:HIJ38"/>
    <mergeCell ref="HIK38:HIS38"/>
    <mergeCell ref="HIT38:HJB38"/>
    <mergeCell ref="HFQ38:HFY38"/>
    <mergeCell ref="HFZ38:HGH38"/>
    <mergeCell ref="HGI38:HGQ38"/>
    <mergeCell ref="HGR38:HGZ38"/>
    <mergeCell ref="HHA38:HHI38"/>
    <mergeCell ref="HDX38:HEF38"/>
    <mergeCell ref="HEG38:HEO38"/>
    <mergeCell ref="HEP38:HEX38"/>
    <mergeCell ref="HEY38:HFG38"/>
    <mergeCell ref="HFH38:HFP38"/>
    <mergeCell ref="HCE38:HCM38"/>
    <mergeCell ref="HCN38:HCV38"/>
    <mergeCell ref="HCW38:HDE38"/>
    <mergeCell ref="HDF38:HDN38"/>
    <mergeCell ref="HDO38:HDW38"/>
    <mergeCell ref="HAL38:HAT38"/>
    <mergeCell ref="HAU38:HBC38"/>
    <mergeCell ref="HBD38:HBL38"/>
    <mergeCell ref="HBM38:HBU38"/>
    <mergeCell ref="HBV38:HCD38"/>
    <mergeCell ref="GYS38:GZA38"/>
    <mergeCell ref="GZB38:GZJ38"/>
    <mergeCell ref="GZK38:GZS38"/>
    <mergeCell ref="GZT38:HAB38"/>
    <mergeCell ref="HAC38:HAK38"/>
    <mergeCell ref="GWZ38:GXH38"/>
    <mergeCell ref="GXI38:GXQ38"/>
    <mergeCell ref="GXR38:GXZ38"/>
    <mergeCell ref="GYA38:GYI38"/>
    <mergeCell ref="GYJ38:GYR38"/>
    <mergeCell ref="GVG38:GVO38"/>
    <mergeCell ref="GVP38:GVX38"/>
    <mergeCell ref="GVY38:GWG38"/>
    <mergeCell ref="GWH38:GWP38"/>
    <mergeCell ref="GWQ38:GWY38"/>
    <mergeCell ref="GTN38:GTV38"/>
    <mergeCell ref="GTW38:GUE38"/>
    <mergeCell ref="GUF38:GUN38"/>
    <mergeCell ref="GUO38:GUW38"/>
    <mergeCell ref="GUX38:GVF38"/>
    <mergeCell ref="GRU38:GSC38"/>
    <mergeCell ref="GSD38:GSL38"/>
    <mergeCell ref="GSM38:GSU38"/>
    <mergeCell ref="GSV38:GTD38"/>
    <mergeCell ref="GTE38:GTM38"/>
    <mergeCell ref="GQB38:GQJ38"/>
    <mergeCell ref="GQK38:GQS38"/>
    <mergeCell ref="GQT38:GRB38"/>
    <mergeCell ref="GRC38:GRK38"/>
    <mergeCell ref="GRL38:GRT38"/>
    <mergeCell ref="GOI38:GOQ38"/>
    <mergeCell ref="GOR38:GOZ38"/>
    <mergeCell ref="GPA38:GPI38"/>
    <mergeCell ref="GPJ38:GPR38"/>
    <mergeCell ref="GPS38:GQA38"/>
    <mergeCell ref="GMP38:GMX38"/>
    <mergeCell ref="GMY38:GNG38"/>
    <mergeCell ref="GNH38:GNP38"/>
    <mergeCell ref="GNQ38:GNY38"/>
    <mergeCell ref="GNZ38:GOH38"/>
    <mergeCell ref="GKW38:GLE38"/>
    <mergeCell ref="GLF38:GLN38"/>
    <mergeCell ref="GLO38:GLW38"/>
    <mergeCell ref="GLX38:GMF38"/>
    <mergeCell ref="GMG38:GMO38"/>
    <mergeCell ref="GJD38:GJL38"/>
    <mergeCell ref="GJM38:GJU38"/>
    <mergeCell ref="GJV38:GKD38"/>
    <mergeCell ref="GKE38:GKM38"/>
    <mergeCell ref="GKN38:GKV38"/>
    <mergeCell ref="GHK38:GHS38"/>
    <mergeCell ref="GHT38:GIB38"/>
    <mergeCell ref="GIC38:GIK38"/>
    <mergeCell ref="GIL38:GIT38"/>
    <mergeCell ref="GIU38:GJC38"/>
    <mergeCell ref="GFR38:GFZ38"/>
    <mergeCell ref="GGA38:GGI38"/>
    <mergeCell ref="GGJ38:GGR38"/>
    <mergeCell ref="GGS38:GHA38"/>
    <mergeCell ref="GHB38:GHJ38"/>
    <mergeCell ref="GDY38:GEG38"/>
    <mergeCell ref="GEH38:GEP38"/>
    <mergeCell ref="GEQ38:GEY38"/>
    <mergeCell ref="GEZ38:GFH38"/>
    <mergeCell ref="GFI38:GFQ38"/>
    <mergeCell ref="GCF38:GCN38"/>
    <mergeCell ref="GCO38:GCW38"/>
    <mergeCell ref="GCX38:GDF38"/>
    <mergeCell ref="GDG38:GDO38"/>
    <mergeCell ref="GDP38:GDX38"/>
    <mergeCell ref="GAM38:GAU38"/>
    <mergeCell ref="GAV38:GBD38"/>
    <mergeCell ref="GBE38:GBM38"/>
    <mergeCell ref="GBN38:GBV38"/>
    <mergeCell ref="GBW38:GCE38"/>
    <mergeCell ref="FYT38:FZB38"/>
    <mergeCell ref="FZC38:FZK38"/>
    <mergeCell ref="FZL38:FZT38"/>
    <mergeCell ref="FZU38:GAC38"/>
    <mergeCell ref="GAD38:GAL38"/>
    <mergeCell ref="FXA38:FXI38"/>
    <mergeCell ref="FXJ38:FXR38"/>
    <mergeCell ref="FXS38:FYA38"/>
    <mergeCell ref="FYB38:FYJ38"/>
    <mergeCell ref="FYK38:FYS38"/>
    <mergeCell ref="FVH38:FVP38"/>
    <mergeCell ref="FVQ38:FVY38"/>
    <mergeCell ref="FVZ38:FWH38"/>
    <mergeCell ref="FWI38:FWQ38"/>
    <mergeCell ref="FWR38:FWZ38"/>
    <mergeCell ref="FTO38:FTW38"/>
    <mergeCell ref="FTX38:FUF38"/>
    <mergeCell ref="FUG38:FUO38"/>
    <mergeCell ref="FUP38:FUX38"/>
    <mergeCell ref="FUY38:FVG38"/>
    <mergeCell ref="FRV38:FSD38"/>
    <mergeCell ref="FSE38:FSM38"/>
    <mergeCell ref="FSN38:FSV38"/>
    <mergeCell ref="FSW38:FTE38"/>
    <mergeCell ref="FTF38:FTN38"/>
    <mergeCell ref="FQC38:FQK38"/>
    <mergeCell ref="FQL38:FQT38"/>
    <mergeCell ref="FQU38:FRC38"/>
    <mergeCell ref="FRD38:FRL38"/>
    <mergeCell ref="FRM38:FRU38"/>
    <mergeCell ref="FOJ38:FOR38"/>
    <mergeCell ref="FOS38:FPA38"/>
    <mergeCell ref="FPB38:FPJ38"/>
    <mergeCell ref="FPK38:FPS38"/>
    <mergeCell ref="FPT38:FQB38"/>
    <mergeCell ref="FMQ38:FMY38"/>
    <mergeCell ref="FMZ38:FNH38"/>
    <mergeCell ref="FNI38:FNQ38"/>
    <mergeCell ref="FNR38:FNZ38"/>
    <mergeCell ref="FOA38:FOI38"/>
    <mergeCell ref="FKX38:FLF38"/>
    <mergeCell ref="FLG38:FLO38"/>
    <mergeCell ref="FLP38:FLX38"/>
    <mergeCell ref="FLY38:FMG38"/>
    <mergeCell ref="FMH38:FMP38"/>
    <mergeCell ref="FJE38:FJM38"/>
    <mergeCell ref="FJN38:FJV38"/>
    <mergeCell ref="FJW38:FKE38"/>
    <mergeCell ref="FKF38:FKN38"/>
    <mergeCell ref="FKO38:FKW38"/>
    <mergeCell ref="FHL38:FHT38"/>
    <mergeCell ref="FHU38:FIC38"/>
    <mergeCell ref="FID38:FIL38"/>
    <mergeCell ref="FIM38:FIU38"/>
    <mergeCell ref="FIV38:FJD38"/>
    <mergeCell ref="FFS38:FGA38"/>
    <mergeCell ref="FGB38:FGJ38"/>
    <mergeCell ref="FGK38:FGS38"/>
    <mergeCell ref="FGT38:FHB38"/>
    <mergeCell ref="FHC38:FHK38"/>
    <mergeCell ref="FDZ38:FEH38"/>
    <mergeCell ref="FEI38:FEQ38"/>
    <mergeCell ref="FER38:FEZ38"/>
    <mergeCell ref="FFA38:FFI38"/>
    <mergeCell ref="FFJ38:FFR38"/>
    <mergeCell ref="FCG38:FCO38"/>
    <mergeCell ref="FCP38:FCX38"/>
    <mergeCell ref="FCY38:FDG38"/>
    <mergeCell ref="FDH38:FDP38"/>
    <mergeCell ref="FDQ38:FDY38"/>
    <mergeCell ref="FAN38:FAV38"/>
    <mergeCell ref="FAW38:FBE38"/>
    <mergeCell ref="FBF38:FBN38"/>
    <mergeCell ref="FBO38:FBW38"/>
    <mergeCell ref="FBX38:FCF38"/>
    <mergeCell ref="EYU38:EZC38"/>
    <mergeCell ref="EZD38:EZL38"/>
    <mergeCell ref="EZM38:EZU38"/>
    <mergeCell ref="EZV38:FAD38"/>
    <mergeCell ref="FAE38:FAM38"/>
    <mergeCell ref="EXB38:EXJ38"/>
    <mergeCell ref="EXK38:EXS38"/>
    <mergeCell ref="EXT38:EYB38"/>
    <mergeCell ref="EYC38:EYK38"/>
    <mergeCell ref="EYL38:EYT38"/>
    <mergeCell ref="EVI38:EVQ38"/>
    <mergeCell ref="EVR38:EVZ38"/>
    <mergeCell ref="EWA38:EWI38"/>
    <mergeCell ref="EWJ38:EWR38"/>
    <mergeCell ref="EWS38:EXA38"/>
    <mergeCell ref="ETP38:ETX38"/>
    <mergeCell ref="ETY38:EUG38"/>
    <mergeCell ref="EUH38:EUP38"/>
    <mergeCell ref="EUQ38:EUY38"/>
    <mergeCell ref="EUZ38:EVH38"/>
    <mergeCell ref="ERW38:ESE38"/>
    <mergeCell ref="ESF38:ESN38"/>
    <mergeCell ref="ESO38:ESW38"/>
    <mergeCell ref="ESX38:ETF38"/>
    <mergeCell ref="ETG38:ETO38"/>
    <mergeCell ref="EQD38:EQL38"/>
    <mergeCell ref="EQM38:EQU38"/>
    <mergeCell ref="EQV38:ERD38"/>
    <mergeCell ref="ERE38:ERM38"/>
    <mergeCell ref="ERN38:ERV38"/>
    <mergeCell ref="EOK38:EOS38"/>
    <mergeCell ref="EOT38:EPB38"/>
    <mergeCell ref="EPC38:EPK38"/>
    <mergeCell ref="EPL38:EPT38"/>
    <mergeCell ref="EPU38:EQC38"/>
    <mergeCell ref="EMR38:EMZ38"/>
    <mergeCell ref="ENA38:ENI38"/>
    <mergeCell ref="ENJ38:ENR38"/>
    <mergeCell ref="ENS38:EOA38"/>
    <mergeCell ref="EOB38:EOJ38"/>
    <mergeCell ref="EKY38:ELG38"/>
    <mergeCell ref="ELH38:ELP38"/>
    <mergeCell ref="ELQ38:ELY38"/>
    <mergeCell ref="ELZ38:EMH38"/>
    <mergeCell ref="EMI38:EMQ38"/>
    <mergeCell ref="EJF38:EJN38"/>
    <mergeCell ref="EJO38:EJW38"/>
    <mergeCell ref="EJX38:EKF38"/>
    <mergeCell ref="EKG38:EKO38"/>
    <mergeCell ref="EKP38:EKX38"/>
    <mergeCell ref="EHM38:EHU38"/>
    <mergeCell ref="EHV38:EID38"/>
    <mergeCell ref="EIE38:EIM38"/>
    <mergeCell ref="EIN38:EIV38"/>
    <mergeCell ref="EIW38:EJE38"/>
    <mergeCell ref="EFT38:EGB38"/>
    <mergeCell ref="EGC38:EGK38"/>
    <mergeCell ref="EGL38:EGT38"/>
    <mergeCell ref="EGU38:EHC38"/>
    <mergeCell ref="EHD38:EHL38"/>
    <mergeCell ref="EEA38:EEI38"/>
    <mergeCell ref="EEJ38:EER38"/>
    <mergeCell ref="EES38:EFA38"/>
    <mergeCell ref="EFB38:EFJ38"/>
    <mergeCell ref="EFK38:EFS38"/>
    <mergeCell ref="ECH38:ECP38"/>
    <mergeCell ref="ECQ38:ECY38"/>
    <mergeCell ref="ECZ38:EDH38"/>
    <mergeCell ref="EDI38:EDQ38"/>
    <mergeCell ref="EDR38:EDZ38"/>
    <mergeCell ref="EAO38:EAW38"/>
    <mergeCell ref="EAX38:EBF38"/>
    <mergeCell ref="EBG38:EBO38"/>
    <mergeCell ref="EBP38:EBX38"/>
    <mergeCell ref="EBY38:ECG38"/>
    <mergeCell ref="DYV38:DZD38"/>
    <mergeCell ref="DZE38:DZM38"/>
    <mergeCell ref="DZN38:DZV38"/>
    <mergeCell ref="DZW38:EAE38"/>
    <mergeCell ref="EAF38:EAN38"/>
    <mergeCell ref="DXC38:DXK38"/>
    <mergeCell ref="DXL38:DXT38"/>
    <mergeCell ref="DXU38:DYC38"/>
    <mergeCell ref="DYD38:DYL38"/>
    <mergeCell ref="DYM38:DYU38"/>
    <mergeCell ref="DVJ38:DVR38"/>
    <mergeCell ref="DVS38:DWA38"/>
    <mergeCell ref="DWB38:DWJ38"/>
    <mergeCell ref="DWK38:DWS38"/>
    <mergeCell ref="DWT38:DXB38"/>
    <mergeCell ref="DTQ38:DTY38"/>
    <mergeCell ref="DTZ38:DUH38"/>
    <mergeCell ref="DUI38:DUQ38"/>
    <mergeCell ref="DUR38:DUZ38"/>
    <mergeCell ref="DVA38:DVI38"/>
    <mergeCell ref="DRX38:DSF38"/>
    <mergeCell ref="DSG38:DSO38"/>
    <mergeCell ref="DSP38:DSX38"/>
    <mergeCell ref="DSY38:DTG38"/>
    <mergeCell ref="DTH38:DTP38"/>
    <mergeCell ref="DQE38:DQM38"/>
    <mergeCell ref="DQN38:DQV38"/>
    <mergeCell ref="DQW38:DRE38"/>
    <mergeCell ref="DRF38:DRN38"/>
    <mergeCell ref="DRO38:DRW38"/>
    <mergeCell ref="DOL38:DOT38"/>
    <mergeCell ref="DOU38:DPC38"/>
    <mergeCell ref="DPD38:DPL38"/>
    <mergeCell ref="DPM38:DPU38"/>
    <mergeCell ref="DPV38:DQD38"/>
    <mergeCell ref="DMS38:DNA38"/>
    <mergeCell ref="DNB38:DNJ38"/>
    <mergeCell ref="DNK38:DNS38"/>
    <mergeCell ref="DNT38:DOB38"/>
    <mergeCell ref="DOC38:DOK38"/>
    <mergeCell ref="DKZ38:DLH38"/>
    <mergeCell ref="DLI38:DLQ38"/>
    <mergeCell ref="DLR38:DLZ38"/>
    <mergeCell ref="DMA38:DMI38"/>
    <mergeCell ref="DMJ38:DMR38"/>
    <mergeCell ref="DJG38:DJO38"/>
    <mergeCell ref="DJP38:DJX38"/>
    <mergeCell ref="DJY38:DKG38"/>
    <mergeCell ref="DKH38:DKP38"/>
    <mergeCell ref="DKQ38:DKY38"/>
    <mergeCell ref="DHN38:DHV38"/>
    <mergeCell ref="DHW38:DIE38"/>
    <mergeCell ref="DIF38:DIN38"/>
    <mergeCell ref="DIO38:DIW38"/>
    <mergeCell ref="DIX38:DJF38"/>
    <mergeCell ref="DFU38:DGC38"/>
    <mergeCell ref="DGD38:DGL38"/>
    <mergeCell ref="DGM38:DGU38"/>
    <mergeCell ref="DGV38:DHD38"/>
    <mergeCell ref="DHE38:DHM38"/>
    <mergeCell ref="DEB38:DEJ38"/>
    <mergeCell ref="DEK38:DES38"/>
    <mergeCell ref="DET38:DFB38"/>
    <mergeCell ref="DFC38:DFK38"/>
    <mergeCell ref="DFL38:DFT38"/>
    <mergeCell ref="DCI38:DCQ38"/>
    <mergeCell ref="DCR38:DCZ38"/>
    <mergeCell ref="DDA38:DDI38"/>
    <mergeCell ref="DDJ38:DDR38"/>
    <mergeCell ref="DDS38:DEA38"/>
    <mergeCell ref="DAP38:DAX38"/>
    <mergeCell ref="DAY38:DBG38"/>
    <mergeCell ref="DBH38:DBP38"/>
    <mergeCell ref="DBQ38:DBY38"/>
    <mergeCell ref="DBZ38:DCH38"/>
    <mergeCell ref="CYW38:CZE38"/>
    <mergeCell ref="CZF38:CZN38"/>
    <mergeCell ref="CZO38:CZW38"/>
    <mergeCell ref="CZX38:DAF38"/>
    <mergeCell ref="DAG38:DAO38"/>
    <mergeCell ref="CXD38:CXL38"/>
    <mergeCell ref="CXM38:CXU38"/>
    <mergeCell ref="CXV38:CYD38"/>
    <mergeCell ref="CYE38:CYM38"/>
    <mergeCell ref="CYN38:CYV38"/>
    <mergeCell ref="CVK38:CVS38"/>
    <mergeCell ref="CVT38:CWB38"/>
    <mergeCell ref="CWC38:CWK38"/>
    <mergeCell ref="CWL38:CWT38"/>
    <mergeCell ref="CWU38:CXC38"/>
    <mergeCell ref="CTR38:CTZ38"/>
    <mergeCell ref="CUA38:CUI38"/>
    <mergeCell ref="CUJ38:CUR38"/>
    <mergeCell ref="CUS38:CVA38"/>
    <mergeCell ref="CVB38:CVJ38"/>
    <mergeCell ref="CRY38:CSG38"/>
    <mergeCell ref="CSH38:CSP38"/>
    <mergeCell ref="CSQ38:CSY38"/>
    <mergeCell ref="CSZ38:CTH38"/>
    <mergeCell ref="CTI38:CTQ38"/>
    <mergeCell ref="CQF38:CQN38"/>
    <mergeCell ref="CQO38:CQW38"/>
    <mergeCell ref="CQX38:CRF38"/>
    <mergeCell ref="CRG38:CRO38"/>
    <mergeCell ref="CRP38:CRX38"/>
    <mergeCell ref="COM38:COU38"/>
    <mergeCell ref="COV38:CPD38"/>
    <mergeCell ref="CPE38:CPM38"/>
    <mergeCell ref="CPN38:CPV38"/>
    <mergeCell ref="CPW38:CQE38"/>
    <mergeCell ref="CMT38:CNB38"/>
    <mergeCell ref="CNC38:CNK38"/>
    <mergeCell ref="CNL38:CNT38"/>
    <mergeCell ref="CNU38:COC38"/>
    <mergeCell ref="COD38:COL38"/>
    <mergeCell ref="CLA38:CLI38"/>
    <mergeCell ref="CLJ38:CLR38"/>
    <mergeCell ref="CLS38:CMA38"/>
    <mergeCell ref="CMB38:CMJ38"/>
    <mergeCell ref="CMK38:CMS38"/>
    <mergeCell ref="CJH38:CJP38"/>
    <mergeCell ref="CJQ38:CJY38"/>
    <mergeCell ref="CJZ38:CKH38"/>
    <mergeCell ref="CKI38:CKQ38"/>
    <mergeCell ref="CKR38:CKZ38"/>
    <mergeCell ref="CHO38:CHW38"/>
    <mergeCell ref="CHX38:CIF38"/>
    <mergeCell ref="CIG38:CIO38"/>
    <mergeCell ref="CIP38:CIX38"/>
    <mergeCell ref="CIY38:CJG38"/>
    <mergeCell ref="CFV38:CGD38"/>
    <mergeCell ref="CGE38:CGM38"/>
    <mergeCell ref="CGN38:CGV38"/>
    <mergeCell ref="CGW38:CHE38"/>
    <mergeCell ref="CHF38:CHN38"/>
    <mergeCell ref="CEC38:CEK38"/>
    <mergeCell ref="CEL38:CET38"/>
    <mergeCell ref="CEU38:CFC38"/>
    <mergeCell ref="CFD38:CFL38"/>
    <mergeCell ref="CFM38:CFU38"/>
    <mergeCell ref="CCJ38:CCR38"/>
    <mergeCell ref="CCS38:CDA38"/>
    <mergeCell ref="CDB38:CDJ38"/>
    <mergeCell ref="CDK38:CDS38"/>
    <mergeCell ref="CDT38:CEB38"/>
    <mergeCell ref="CAQ38:CAY38"/>
    <mergeCell ref="CAZ38:CBH38"/>
    <mergeCell ref="CBI38:CBQ38"/>
    <mergeCell ref="CBR38:CBZ38"/>
    <mergeCell ref="CCA38:CCI38"/>
    <mergeCell ref="BYX38:BZF38"/>
    <mergeCell ref="BZG38:BZO38"/>
    <mergeCell ref="BZP38:BZX38"/>
    <mergeCell ref="BZY38:CAG38"/>
    <mergeCell ref="CAH38:CAP38"/>
    <mergeCell ref="BXE38:BXM38"/>
    <mergeCell ref="BXN38:BXV38"/>
    <mergeCell ref="BXW38:BYE38"/>
    <mergeCell ref="BYF38:BYN38"/>
    <mergeCell ref="BYO38:BYW38"/>
    <mergeCell ref="BVL38:BVT38"/>
    <mergeCell ref="BVU38:BWC38"/>
    <mergeCell ref="BWD38:BWL38"/>
    <mergeCell ref="BWM38:BWU38"/>
    <mergeCell ref="BWV38:BXD38"/>
    <mergeCell ref="BTS38:BUA38"/>
    <mergeCell ref="BUB38:BUJ38"/>
    <mergeCell ref="BUK38:BUS38"/>
    <mergeCell ref="BUT38:BVB38"/>
    <mergeCell ref="BVC38:BVK38"/>
    <mergeCell ref="BRZ38:BSH38"/>
    <mergeCell ref="BSI38:BSQ38"/>
    <mergeCell ref="BSR38:BSZ38"/>
    <mergeCell ref="BTA38:BTI38"/>
    <mergeCell ref="BTJ38:BTR38"/>
    <mergeCell ref="BQG38:BQO38"/>
    <mergeCell ref="BQP38:BQX38"/>
    <mergeCell ref="BQY38:BRG38"/>
    <mergeCell ref="BRH38:BRP38"/>
    <mergeCell ref="BRQ38:BRY38"/>
    <mergeCell ref="BON38:BOV38"/>
    <mergeCell ref="BOW38:BPE38"/>
    <mergeCell ref="BPF38:BPN38"/>
    <mergeCell ref="BPO38:BPW38"/>
    <mergeCell ref="BPX38:BQF38"/>
    <mergeCell ref="BMU38:BNC38"/>
    <mergeCell ref="BND38:BNL38"/>
    <mergeCell ref="BNM38:BNU38"/>
    <mergeCell ref="BNV38:BOD38"/>
    <mergeCell ref="BOE38:BOM38"/>
    <mergeCell ref="BLB38:BLJ38"/>
    <mergeCell ref="BLK38:BLS38"/>
    <mergeCell ref="BLT38:BMB38"/>
    <mergeCell ref="BMC38:BMK38"/>
    <mergeCell ref="BML38:BMT38"/>
    <mergeCell ref="BJI38:BJQ38"/>
    <mergeCell ref="BJR38:BJZ38"/>
    <mergeCell ref="BKA38:BKI38"/>
    <mergeCell ref="BKJ38:BKR38"/>
    <mergeCell ref="BKS38:BLA38"/>
    <mergeCell ref="BHP38:BHX38"/>
    <mergeCell ref="BHY38:BIG38"/>
    <mergeCell ref="BIH38:BIP38"/>
    <mergeCell ref="BIQ38:BIY38"/>
    <mergeCell ref="BIZ38:BJH38"/>
    <mergeCell ref="BFW38:BGE38"/>
    <mergeCell ref="BGF38:BGN38"/>
    <mergeCell ref="BGO38:BGW38"/>
    <mergeCell ref="BGX38:BHF38"/>
    <mergeCell ref="BHG38:BHO38"/>
    <mergeCell ref="BED38:BEL38"/>
    <mergeCell ref="BEM38:BEU38"/>
    <mergeCell ref="BEV38:BFD38"/>
    <mergeCell ref="BFE38:BFM38"/>
    <mergeCell ref="BFN38:BFV38"/>
    <mergeCell ref="BCK38:BCS38"/>
    <mergeCell ref="BCT38:BDB38"/>
    <mergeCell ref="BDC38:BDK38"/>
    <mergeCell ref="BDL38:BDT38"/>
    <mergeCell ref="BDU38:BEC38"/>
    <mergeCell ref="BAR38:BAZ38"/>
    <mergeCell ref="BBA38:BBI38"/>
    <mergeCell ref="BBJ38:BBR38"/>
    <mergeCell ref="BBS38:BCA38"/>
    <mergeCell ref="BCB38:BCJ38"/>
    <mergeCell ref="AYY38:AZG38"/>
    <mergeCell ref="AZH38:AZP38"/>
    <mergeCell ref="AZQ38:AZY38"/>
    <mergeCell ref="AZZ38:BAH38"/>
    <mergeCell ref="BAI38:BAQ38"/>
    <mergeCell ref="AXF38:AXN38"/>
    <mergeCell ref="AXO38:AXW38"/>
    <mergeCell ref="AXX38:AYF38"/>
    <mergeCell ref="AYG38:AYO38"/>
    <mergeCell ref="AYP38:AYX38"/>
    <mergeCell ref="AVM38:AVU38"/>
    <mergeCell ref="AVV38:AWD38"/>
    <mergeCell ref="AWE38:AWM38"/>
    <mergeCell ref="AWN38:AWV38"/>
    <mergeCell ref="AWW38:AXE38"/>
    <mergeCell ref="ATT38:AUB38"/>
    <mergeCell ref="AUC38:AUK38"/>
    <mergeCell ref="AUL38:AUT38"/>
    <mergeCell ref="AUU38:AVC38"/>
    <mergeCell ref="AVD38:AVL38"/>
    <mergeCell ref="ASA38:ASI38"/>
    <mergeCell ref="ASJ38:ASR38"/>
    <mergeCell ref="ASS38:ATA38"/>
    <mergeCell ref="ATB38:ATJ38"/>
    <mergeCell ref="ATK38:ATS38"/>
    <mergeCell ref="AQH38:AQP38"/>
    <mergeCell ref="AQQ38:AQY38"/>
    <mergeCell ref="AQZ38:ARH38"/>
    <mergeCell ref="ARI38:ARQ38"/>
    <mergeCell ref="ARR38:ARZ38"/>
    <mergeCell ref="AOO38:AOW38"/>
    <mergeCell ref="AOX38:APF38"/>
    <mergeCell ref="APG38:APO38"/>
    <mergeCell ref="APP38:APX38"/>
    <mergeCell ref="APY38:AQG38"/>
    <mergeCell ref="AMV38:AND38"/>
    <mergeCell ref="ANE38:ANM38"/>
    <mergeCell ref="ANN38:ANV38"/>
    <mergeCell ref="ANW38:AOE38"/>
    <mergeCell ref="AOF38:AON38"/>
    <mergeCell ref="ALC38:ALK38"/>
    <mergeCell ref="ALL38:ALT38"/>
    <mergeCell ref="ALU38:AMC38"/>
    <mergeCell ref="AMD38:AML38"/>
    <mergeCell ref="AMM38:AMU38"/>
    <mergeCell ref="AJJ38:AJR38"/>
    <mergeCell ref="AJS38:AKA38"/>
    <mergeCell ref="AKB38:AKJ38"/>
    <mergeCell ref="AKK38:AKS38"/>
    <mergeCell ref="AKT38:ALB38"/>
    <mergeCell ref="AHQ38:AHY38"/>
    <mergeCell ref="AHZ38:AIH38"/>
    <mergeCell ref="AII38:AIQ38"/>
    <mergeCell ref="AIR38:AIZ38"/>
    <mergeCell ref="AJA38:AJI38"/>
    <mergeCell ref="AFX38:AGF38"/>
    <mergeCell ref="AGG38:AGO38"/>
    <mergeCell ref="AGP38:AGX38"/>
    <mergeCell ref="AGY38:AHG38"/>
    <mergeCell ref="AHH38:AHP38"/>
    <mergeCell ref="AEE38:AEM38"/>
    <mergeCell ref="AEN38:AEV38"/>
    <mergeCell ref="AEW38:AFE38"/>
    <mergeCell ref="AFF38:AFN38"/>
    <mergeCell ref="AFO38:AFW38"/>
    <mergeCell ref="ACL38:ACT38"/>
    <mergeCell ref="ACU38:ADC38"/>
    <mergeCell ref="ADD38:ADL38"/>
    <mergeCell ref="ADM38:ADU38"/>
    <mergeCell ref="ADV38:AED38"/>
    <mergeCell ref="AAS38:ABA38"/>
    <mergeCell ref="ABB38:ABJ38"/>
    <mergeCell ref="ABK38:ABS38"/>
    <mergeCell ref="ABT38:ACB38"/>
    <mergeCell ref="ACC38:ACK38"/>
    <mergeCell ref="YZ38:ZH38"/>
    <mergeCell ref="ZI38:ZQ38"/>
    <mergeCell ref="ZR38:ZZ38"/>
    <mergeCell ref="AAA38:AAI38"/>
    <mergeCell ref="AAJ38:AAR38"/>
    <mergeCell ref="XG38:XO38"/>
    <mergeCell ref="XP38:XX38"/>
    <mergeCell ref="XY38:YG38"/>
    <mergeCell ref="YH38:YP38"/>
    <mergeCell ref="YQ38:YY38"/>
    <mergeCell ref="VN38:VV38"/>
    <mergeCell ref="VW38:WE38"/>
    <mergeCell ref="WF38:WN38"/>
    <mergeCell ref="WO38:WW38"/>
    <mergeCell ref="WX38:XF38"/>
    <mergeCell ref="TU38:UC38"/>
    <mergeCell ref="UD38:UL38"/>
    <mergeCell ref="UM38:UU38"/>
    <mergeCell ref="UV38:VD38"/>
    <mergeCell ref="VE38:VM38"/>
    <mergeCell ref="SB38:SJ38"/>
    <mergeCell ref="SK38:SS38"/>
    <mergeCell ref="ST38:TB38"/>
    <mergeCell ref="TC38:TK38"/>
    <mergeCell ref="TL38:TT38"/>
    <mergeCell ref="QI38:QQ38"/>
    <mergeCell ref="QR38:QZ38"/>
    <mergeCell ref="RA38:RI38"/>
    <mergeCell ref="RJ38:RR38"/>
    <mergeCell ref="RS38:SA38"/>
    <mergeCell ref="OP38:OX38"/>
    <mergeCell ref="OY38:PG38"/>
    <mergeCell ref="PH38:PP38"/>
    <mergeCell ref="PQ38:PY38"/>
    <mergeCell ref="PZ38:QH38"/>
    <mergeCell ref="MW38:NE38"/>
    <mergeCell ref="NF38:NN38"/>
    <mergeCell ref="NO38:NW38"/>
    <mergeCell ref="NX38:OF38"/>
    <mergeCell ref="OG38:OO38"/>
    <mergeCell ref="A1:I1"/>
    <mergeCell ref="J38:R38"/>
    <mergeCell ref="S38:AA38"/>
    <mergeCell ref="AB38:AJ38"/>
    <mergeCell ref="AK38:AS38"/>
    <mergeCell ref="LD38:LL38"/>
    <mergeCell ref="LM38:LU38"/>
    <mergeCell ref="LV38:MD38"/>
    <mergeCell ref="ME38:MM38"/>
    <mergeCell ref="MN38:MV38"/>
    <mergeCell ref="JK38:JS38"/>
    <mergeCell ref="JT38:KB38"/>
    <mergeCell ref="KC38:KK38"/>
    <mergeCell ref="KL38:KT38"/>
    <mergeCell ref="KU38:LC38"/>
    <mergeCell ref="HR38:HZ38"/>
    <mergeCell ref="IA38:II38"/>
    <mergeCell ref="IJ38:IR38"/>
    <mergeCell ref="IS38:JA38"/>
    <mergeCell ref="JB38:JJ38"/>
    <mergeCell ref="FY38:GG38"/>
    <mergeCell ref="GH38:GP38"/>
    <mergeCell ref="GQ38:GY38"/>
    <mergeCell ref="GZ38:HH38"/>
    <mergeCell ref="HI38:HQ38"/>
    <mergeCell ref="A52:I52"/>
    <mergeCell ref="A47:C47"/>
    <mergeCell ref="A19:C19"/>
    <mergeCell ref="A43:C43"/>
    <mergeCell ref="A23:C23"/>
    <mergeCell ref="EF38:EN38"/>
    <mergeCell ref="EO38:EW38"/>
    <mergeCell ref="EX38:FF38"/>
    <mergeCell ref="FG38:FO38"/>
    <mergeCell ref="FP38:FX38"/>
    <mergeCell ref="CM38:CU38"/>
    <mergeCell ref="CV38:DD38"/>
    <mergeCell ref="DE38:DM38"/>
    <mergeCell ref="DN38:DV38"/>
    <mergeCell ref="DW38:EE38"/>
    <mergeCell ref="AT38:BB38"/>
    <mergeCell ref="BC38:BK38"/>
    <mergeCell ref="BL38:BT38"/>
    <mergeCell ref="BU38:CC38"/>
    <mergeCell ref="CD38:CL38"/>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tint="0.39997558519241921"/>
  </sheetPr>
  <dimension ref="A1:I57"/>
  <sheetViews>
    <sheetView showGridLines="0" workbookViewId="0">
      <pane ySplit="2" topLeftCell="A3" activePane="bottomLeft" state="frozen"/>
      <selection sqref="A1:C1"/>
      <selection pane="bottomLeft" sqref="A1:I1"/>
    </sheetView>
  </sheetViews>
  <sheetFormatPr defaultRowHeight="15" x14ac:dyDescent="0.25"/>
  <cols>
    <col min="1" max="1" width="50.42578125" bestFit="1" customWidth="1"/>
    <col min="2" max="2" width="12.42578125" customWidth="1"/>
    <col min="3" max="3" width="11.85546875" customWidth="1"/>
    <col min="4" max="4" width="9.140625" customWidth="1"/>
    <col min="5" max="5" width="10.42578125" customWidth="1"/>
    <col min="6" max="6" width="11.140625" customWidth="1"/>
    <col min="7" max="7" width="10.85546875" customWidth="1"/>
  </cols>
  <sheetData>
    <row r="1" spans="1:9" ht="15.75" x14ac:dyDescent="0.25">
      <c r="A1" s="993" t="s">
        <v>523</v>
      </c>
      <c r="B1" s="993"/>
      <c r="C1" s="993"/>
      <c r="D1" s="993"/>
      <c r="E1" s="993"/>
      <c r="F1" s="993"/>
      <c r="G1" s="993"/>
      <c r="H1" s="993"/>
      <c r="I1" s="993"/>
    </row>
    <row r="2" spans="1:9" ht="18" x14ac:dyDescent="0.25">
      <c r="A2" s="790" t="s">
        <v>598</v>
      </c>
      <c r="B2" s="1"/>
      <c r="C2" s="1"/>
      <c r="D2" s="1"/>
      <c r="E2" s="1"/>
      <c r="F2" s="1"/>
      <c r="G2" s="1"/>
      <c r="H2" s="1"/>
      <c r="I2" s="1"/>
    </row>
    <row r="3" spans="1:9" ht="18" x14ac:dyDescent="0.25">
      <c r="A3" s="1"/>
      <c r="B3" s="1"/>
      <c r="C3" s="1"/>
      <c r="D3" s="1"/>
      <c r="E3" s="1"/>
      <c r="F3" s="1"/>
      <c r="G3" s="1"/>
      <c r="H3" s="1"/>
      <c r="I3" s="1"/>
    </row>
    <row r="4" spans="1:9" ht="24" customHeight="1" x14ac:dyDescent="0.25">
      <c r="A4" s="664" t="s">
        <v>555</v>
      </c>
      <c r="B4" s="664"/>
      <c r="C4" s="664"/>
      <c r="D4" s="664"/>
      <c r="E4" s="664"/>
      <c r="F4" s="664"/>
      <c r="G4" s="664"/>
      <c r="H4" s="664"/>
      <c r="I4" s="664"/>
    </row>
    <row r="5" spans="1:9" ht="15.75" x14ac:dyDescent="0.25">
      <c r="A5" t="s">
        <v>530</v>
      </c>
      <c r="B5" s="630"/>
      <c r="C5" s="630"/>
      <c r="D5" s="630"/>
      <c r="E5" s="630"/>
      <c r="F5" s="630"/>
      <c r="G5" s="630"/>
      <c r="H5" s="630"/>
      <c r="I5" s="630"/>
    </row>
    <row r="6" spans="1:9" x14ac:dyDescent="0.25">
      <c r="A6" t="s">
        <v>368</v>
      </c>
      <c r="B6" t="s">
        <v>752</v>
      </c>
    </row>
    <row r="7" spans="1:9" x14ac:dyDescent="0.25">
      <c r="A7" t="s">
        <v>369</v>
      </c>
      <c r="B7" t="s">
        <v>371</v>
      </c>
    </row>
    <row r="8" spans="1:9" x14ac:dyDescent="0.25">
      <c r="A8" t="s">
        <v>370</v>
      </c>
      <c r="B8" t="s">
        <v>372</v>
      </c>
    </row>
    <row r="10" spans="1:9" ht="30" customHeight="1" x14ac:dyDescent="0.25">
      <c r="A10" s="2" t="s">
        <v>509</v>
      </c>
      <c r="B10" s="3" t="s">
        <v>179</v>
      </c>
      <c r="C10" s="3" t="s">
        <v>28</v>
      </c>
      <c r="D10" s="3" t="s">
        <v>2</v>
      </c>
      <c r="E10" s="3" t="s">
        <v>3</v>
      </c>
      <c r="F10" s="3" t="s">
        <v>29</v>
      </c>
      <c r="G10" s="650" t="s">
        <v>26</v>
      </c>
    </row>
    <row r="11" spans="1:9" ht="20.25" customHeight="1" x14ac:dyDescent="0.25">
      <c r="A11" s="5" t="str">
        <f>T2U!B19</f>
        <v>Asset Management</v>
      </c>
      <c r="B11" s="394">
        <f>T2U!H19</f>
        <v>5</v>
      </c>
      <c r="C11" s="394">
        <f>T2U!E19</f>
        <v>0</v>
      </c>
      <c r="D11" s="394">
        <f>T2U!D19</f>
        <v>0</v>
      </c>
      <c r="E11" s="394">
        <f>T2U!F19</f>
        <v>182</v>
      </c>
      <c r="F11" s="394">
        <f>T2U!G19</f>
        <v>0</v>
      </c>
      <c r="G11" s="673">
        <f>SUM(B11:F11)</f>
        <v>187</v>
      </c>
    </row>
    <row r="12" spans="1:9" x14ac:dyDescent="0.25">
      <c r="A12" s="5" t="str">
        <f>T2U!B20</f>
        <v>Business Support</v>
      </c>
      <c r="B12" s="394">
        <f>T2U!H20</f>
        <v>2</v>
      </c>
      <c r="C12" s="394">
        <f>T2U!E20</f>
        <v>0</v>
      </c>
      <c r="D12" s="394">
        <f>T2U!D20</f>
        <v>0</v>
      </c>
      <c r="E12" s="394">
        <f>T2U!F20</f>
        <v>66</v>
      </c>
      <c r="F12" s="394">
        <f>T2U!G20</f>
        <v>0</v>
      </c>
      <c r="G12" s="673">
        <f t="shared" ref="G12:G24" si="0">SUM(B12:F12)</f>
        <v>68</v>
      </c>
    </row>
    <row r="13" spans="1:9" x14ac:dyDescent="0.25">
      <c r="A13" s="5" t="str">
        <f>T2U!B21</f>
        <v>Finance &amp; Procurement</v>
      </c>
      <c r="B13" s="394">
        <f>T2U!H21</f>
        <v>0</v>
      </c>
      <c r="C13" s="394">
        <f>T2U!E21</f>
        <v>0</v>
      </c>
      <c r="D13" s="394">
        <f>T2U!D21</f>
        <v>0</v>
      </c>
      <c r="E13" s="394">
        <f>T2U!F21</f>
        <v>67</v>
      </c>
      <c r="F13" s="394">
        <f>T2U!G21</f>
        <v>0</v>
      </c>
      <c r="G13" s="673">
        <f t="shared" si="0"/>
        <v>67</v>
      </c>
    </row>
    <row r="14" spans="1:9" x14ac:dyDescent="0.25">
      <c r="A14" s="5" t="str">
        <f>T2U!B22</f>
        <v>Health, Safety and Organisational Wellbeing</v>
      </c>
      <c r="B14" s="394">
        <f>T2U!H22</f>
        <v>3</v>
      </c>
      <c r="C14" s="394">
        <f>T2U!E22</f>
        <v>0</v>
      </c>
      <c r="D14" s="394">
        <f>T2U!D22</f>
        <v>0</v>
      </c>
      <c r="E14" s="394">
        <f>T2U!F22</f>
        <v>46</v>
      </c>
      <c r="F14" s="394">
        <f>T2U!G22</f>
        <v>0</v>
      </c>
      <c r="G14" s="673">
        <f t="shared" si="0"/>
        <v>49</v>
      </c>
    </row>
    <row r="15" spans="1:9" x14ac:dyDescent="0.25">
      <c r="A15" s="5" t="str">
        <f>T2U!B23</f>
        <v>Human Resources Organisational Development</v>
      </c>
      <c r="B15" s="394">
        <f>T2U!H23</f>
        <v>2</v>
      </c>
      <c r="C15" s="394">
        <f>T2U!E23</f>
        <v>0</v>
      </c>
      <c r="D15" s="394">
        <f>T2U!D23</f>
        <v>0</v>
      </c>
      <c r="E15" s="394">
        <f>T2U!F23</f>
        <v>56</v>
      </c>
      <c r="F15" s="394">
        <f>T2U!G23</f>
        <v>0</v>
      </c>
      <c r="G15" s="673">
        <f t="shared" si="0"/>
        <v>58</v>
      </c>
    </row>
    <row r="16" spans="1:9" x14ac:dyDescent="0.25">
      <c r="A16" s="5" t="str">
        <f>T2U!B24</f>
        <v xml:space="preserve">Information Communication Technology </v>
      </c>
      <c r="B16" s="394">
        <f>T2U!H24</f>
        <v>0</v>
      </c>
      <c r="C16" s="394">
        <f>T2U!E24</f>
        <v>0</v>
      </c>
      <c r="D16" s="394">
        <f>T2U!D24</f>
        <v>0</v>
      </c>
      <c r="E16" s="394">
        <f>T2U!F24</f>
        <v>77</v>
      </c>
      <c r="F16" s="394">
        <f>T2U!G24</f>
        <v>0</v>
      </c>
      <c r="G16" s="673">
        <f t="shared" si="0"/>
        <v>77</v>
      </c>
    </row>
    <row r="17" spans="1:9" x14ac:dyDescent="0.25">
      <c r="A17" s="5" t="str">
        <f>T2U!B25</f>
        <v>Prevention and Protection</v>
      </c>
      <c r="B17" s="394">
        <f>T2U!H25</f>
        <v>200</v>
      </c>
      <c r="C17" s="394">
        <f>T2U!E25</f>
        <v>0</v>
      </c>
      <c r="D17" s="394">
        <f>T2U!D25</f>
        <v>0</v>
      </c>
      <c r="E17" s="394">
        <f>T2U!F25</f>
        <v>82</v>
      </c>
      <c r="F17" s="394">
        <f>T2U!G25</f>
        <v>0</v>
      </c>
      <c r="G17" s="673">
        <f t="shared" si="0"/>
        <v>282</v>
      </c>
    </row>
    <row r="18" spans="1:9" x14ac:dyDescent="0.25">
      <c r="A18" s="5" t="str">
        <f>T2U!B26</f>
        <v>Response and Resilience</v>
      </c>
      <c r="B18" s="394">
        <f>T2U!H26</f>
        <v>45</v>
      </c>
      <c r="C18" s="394">
        <f>T2U!E26</f>
        <v>0</v>
      </c>
      <c r="D18" s="394">
        <f>T2U!D26</f>
        <v>197</v>
      </c>
      <c r="E18" s="394">
        <f>T2U!F26</f>
        <v>73</v>
      </c>
      <c r="F18" s="394">
        <f>T2U!G26</f>
        <v>0</v>
      </c>
      <c r="G18" s="673">
        <f t="shared" si="0"/>
        <v>315</v>
      </c>
    </row>
    <row r="19" spans="1:9" x14ac:dyDescent="0.25">
      <c r="A19" s="5" t="str">
        <f>T2U!B27</f>
        <v>Senior Leadership Team</v>
      </c>
      <c r="B19" s="394">
        <f>T2U!H27</f>
        <v>4</v>
      </c>
      <c r="C19" s="394">
        <f>T2U!E27</f>
        <v>0</v>
      </c>
      <c r="D19" s="394">
        <f>T2U!D27</f>
        <v>0</v>
      </c>
      <c r="E19" s="394">
        <f>T2U!F27</f>
        <v>3</v>
      </c>
      <c r="F19" s="394">
        <f>T2U!G27</f>
        <v>0</v>
      </c>
      <c r="G19" s="673">
        <f t="shared" si="0"/>
        <v>7</v>
      </c>
    </row>
    <row r="20" spans="1:9" x14ac:dyDescent="0.25">
      <c r="A20" s="5" t="str">
        <f>T2U!B28</f>
        <v>Service Delivery</v>
      </c>
      <c r="B20" s="394">
        <f>T2U!H28</f>
        <v>3101</v>
      </c>
      <c r="C20" s="394">
        <f>T2U!E28</f>
        <v>2953</v>
      </c>
      <c r="D20" s="394">
        <f>T2U!D28</f>
        <v>0</v>
      </c>
      <c r="E20" s="394">
        <f>T2U!F28</f>
        <v>26</v>
      </c>
      <c r="F20" s="394">
        <f>T2U!G28</f>
        <v>317</v>
      </c>
      <c r="G20" s="673">
        <f t="shared" si="0"/>
        <v>6397</v>
      </c>
    </row>
    <row r="21" spans="1:9" x14ac:dyDescent="0.25">
      <c r="A21" s="5" t="str">
        <f>T2U!B29</f>
        <v>Service Transformation</v>
      </c>
      <c r="B21" s="394">
        <f>T2U!H29</f>
        <v>5</v>
      </c>
      <c r="C21" s="394">
        <f>T2U!E29</f>
        <v>0</v>
      </c>
      <c r="D21" s="394">
        <f>T2U!D29</f>
        <v>0</v>
      </c>
      <c r="E21" s="394">
        <f>T2U!F29</f>
        <v>0</v>
      </c>
      <c r="F21" s="394">
        <f>T2U!G29</f>
        <v>0</v>
      </c>
      <c r="G21" s="673">
        <f t="shared" si="0"/>
        <v>5</v>
      </c>
    </row>
    <row r="22" spans="1:9" x14ac:dyDescent="0.25">
      <c r="A22" s="5" t="str">
        <f>T2U!B30</f>
        <v>Strategic Planning Performance and Communication</v>
      </c>
      <c r="B22" s="394">
        <f>T2U!H30</f>
        <v>2</v>
      </c>
      <c r="C22" s="394">
        <f>T2U!E30</f>
        <v>0</v>
      </c>
      <c r="D22" s="394">
        <f>T2U!D30</f>
        <v>0</v>
      </c>
      <c r="E22" s="394">
        <f>T2U!F30</f>
        <v>55</v>
      </c>
      <c r="F22" s="394">
        <f>T2U!G30</f>
        <v>0</v>
      </c>
      <c r="G22" s="673">
        <f t="shared" si="0"/>
        <v>57</v>
      </c>
    </row>
    <row r="23" spans="1:9" x14ac:dyDescent="0.25">
      <c r="A23" s="5" t="str">
        <f>T2U!B31</f>
        <v>Trainees</v>
      </c>
      <c r="B23" s="394">
        <f>T2U!H31</f>
        <v>65</v>
      </c>
      <c r="C23" s="394">
        <f>T2U!E31</f>
        <v>0</v>
      </c>
      <c r="D23" s="394">
        <f>T2U!D31</f>
        <v>10</v>
      </c>
      <c r="E23" s="394">
        <f>T2U!F31</f>
        <v>1</v>
      </c>
      <c r="F23" s="394">
        <f>T2U!G31</f>
        <v>0</v>
      </c>
      <c r="G23" s="673">
        <f t="shared" si="0"/>
        <v>76</v>
      </c>
    </row>
    <row r="24" spans="1:9" x14ac:dyDescent="0.25">
      <c r="A24" s="19" t="str">
        <f>T2U!B32</f>
        <v>Training and Employee Development</v>
      </c>
      <c r="B24" s="658">
        <f>T2U!H32</f>
        <v>203</v>
      </c>
      <c r="C24" s="658">
        <f>T2U!E32</f>
        <v>0</v>
      </c>
      <c r="D24" s="658">
        <f>T2U!D32</f>
        <v>0</v>
      </c>
      <c r="E24" s="658">
        <f>T2U!F32</f>
        <v>58</v>
      </c>
      <c r="F24" s="658">
        <f>T2U!G32</f>
        <v>0</v>
      </c>
      <c r="G24" s="659">
        <f t="shared" si="0"/>
        <v>261</v>
      </c>
    </row>
    <row r="25" spans="1:9" ht="15" customHeight="1" x14ac:dyDescent="0.25"/>
    <row r="26" spans="1:9" ht="15" customHeight="1" x14ac:dyDescent="0.25">
      <c r="A26" s="438" t="s">
        <v>8</v>
      </c>
    </row>
    <row r="27" spans="1:9" ht="30" customHeight="1" x14ac:dyDescent="0.25">
      <c r="A27" s="1002" t="s">
        <v>831</v>
      </c>
      <c r="B27" s="1002"/>
      <c r="C27" s="1002"/>
      <c r="D27" s="1002"/>
      <c r="E27" s="1002"/>
      <c r="F27" s="1002"/>
      <c r="G27" s="1002"/>
    </row>
    <row r="28" spans="1:9" ht="15" customHeight="1" x14ac:dyDescent="0.25">
      <c r="A28" t="s">
        <v>531</v>
      </c>
    </row>
    <row r="29" spans="1:9" ht="15" customHeight="1" x14ac:dyDescent="0.25"/>
    <row r="30" spans="1:9" ht="24" customHeight="1" x14ac:dyDescent="0.25">
      <c r="A30" s="665" t="s">
        <v>556</v>
      </c>
      <c r="B30" s="665"/>
      <c r="C30" s="665"/>
      <c r="D30" s="665"/>
      <c r="E30" s="665"/>
      <c r="F30" s="665"/>
      <c r="G30" s="665"/>
      <c r="H30" s="665"/>
      <c r="I30" s="665"/>
    </row>
    <row r="31" spans="1:9" ht="15" customHeight="1" x14ac:dyDescent="0.25">
      <c r="A31" t="s">
        <v>530</v>
      </c>
      <c r="B31" s="630"/>
      <c r="C31" s="630"/>
      <c r="D31" s="630"/>
      <c r="E31" s="630"/>
      <c r="F31" s="630"/>
      <c r="G31" s="630"/>
      <c r="H31" s="630"/>
      <c r="I31" s="630"/>
    </row>
    <row r="32" spans="1:9" ht="15" customHeight="1" x14ac:dyDescent="0.25">
      <c r="A32" t="s">
        <v>368</v>
      </c>
      <c r="B32" t="s">
        <v>751</v>
      </c>
    </row>
    <row r="33" spans="1:6" ht="15" customHeight="1" x14ac:dyDescent="0.25">
      <c r="A33" t="s">
        <v>369</v>
      </c>
      <c r="B33" t="s">
        <v>371</v>
      </c>
    </row>
    <row r="34" spans="1:6" ht="15" customHeight="1" x14ac:dyDescent="0.25">
      <c r="A34" t="s">
        <v>370</v>
      </c>
      <c r="B34" t="s">
        <v>372</v>
      </c>
    </row>
    <row r="35" spans="1:6" ht="15" customHeight="1" x14ac:dyDescent="0.25"/>
    <row r="36" spans="1:6" ht="39" customHeight="1" x14ac:dyDescent="0.25">
      <c r="A36" s="2" t="s">
        <v>509</v>
      </c>
      <c r="B36" s="3" t="s">
        <v>179</v>
      </c>
      <c r="C36" s="3" t="s">
        <v>28</v>
      </c>
      <c r="D36" s="3" t="s">
        <v>2</v>
      </c>
      <c r="E36" s="3" t="s">
        <v>3</v>
      </c>
      <c r="F36" s="3" t="s">
        <v>94</v>
      </c>
    </row>
    <row r="37" spans="1:6" ht="21" customHeight="1" x14ac:dyDescent="0.25">
      <c r="A37" s="5" t="str">
        <f>T2U!$B5</f>
        <v>Asset Management</v>
      </c>
      <c r="B37" s="394">
        <f>T2U!H5</f>
        <v>5</v>
      </c>
      <c r="C37" s="394">
        <f>T2U!E5</f>
        <v>0</v>
      </c>
      <c r="D37" s="394">
        <f>T2U!D5</f>
        <v>0</v>
      </c>
      <c r="E37" s="394">
        <f>T2U!F5</f>
        <v>178.47000000000003</v>
      </c>
      <c r="F37" s="572">
        <f>T2U!$C5</f>
        <v>183.47000000000003</v>
      </c>
    </row>
    <row r="38" spans="1:6" x14ac:dyDescent="0.25">
      <c r="A38" s="5" t="str">
        <f>T2U!$B6</f>
        <v>Business Support</v>
      </c>
      <c r="B38" s="394">
        <f>T2U!H6</f>
        <v>2</v>
      </c>
      <c r="C38" s="394">
        <f>T2U!E6</f>
        <v>0</v>
      </c>
      <c r="D38" s="394">
        <f>T2U!D6</f>
        <v>0</v>
      </c>
      <c r="E38" s="394">
        <f>T2U!F6</f>
        <v>58.509999999999991</v>
      </c>
      <c r="F38" s="572">
        <f>T2U!$C6</f>
        <v>60.509999999999991</v>
      </c>
    </row>
    <row r="39" spans="1:6" x14ac:dyDescent="0.25">
      <c r="A39" s="5" t="str">
        <f>T2U!$B7</f>
        <v>Finance &amp; Procurement</v>
      </c>
      <c r="B39" s="394">
        <f>T2U!H7</f>
        <v>0</v>
      </c>
      <c r="C39" s="394">
        <f>T2U!E7</f>
        <v>0</v>
      </c>
      <c r="D39" s="394">
        <f>T2U!D7</f>
        <v>0</v>
      </c>
      <c r="E39" s="394">
        <f>T2U!F7</f>
        <v>63.550000000000011</v>
      </c>
      <c r="F39" s="572">
        <f>T2U!$C7</f>
        <v>63.550000000000011</v>
      </c>
    </row>
    <row r="40" spans="1:6" x14ac:dyDescent="0.25">
      <c r="A40" s="5" t="str">
        <f>T2U!$B8</f>
        <v>Health, Safety and Organisational Wellbeing</v>
      </c>
      <c r="B40" s="394">
        <f>T2U!H8</f>
        <v>3</v>
      </c>
      <c r="C40" s="394">
        <f>T2U!E8</f>
        <v>0</v>
      </c>
      <c r="D40" s="394">
        <f>T2U!D8</f>
        <v>0</v>
      </c>
      <c r="E40" s="394">
        <f>T2U!F8</f>
        <v>42.75</v>
      </c>
      <c r="F40" s="572">
        <f>T2U!$C8</f>
        <v>45.75</v>
      </c>
    </row>
    <row r="41" spans="1:6" x14ac:dyDescent="0.25">
      <c r="A41" s="5" t="str">
        <f>T2U!$B9</f>
        <v>Human Resources Organisational Development</v>
      </c>
      <c r="B41" s="394">
        <f>T2U!H9</f>
        <v>2</v>
      </c>
      <c r="C41" s="394">
        <f>T2U!E9</f>
        <v>0</v>
      </c>
      <c r="D41" s="394">
        <f>T2U!D9</f>
        <v>0</v>
      </c>
      <c r="E41" s="394">
        <f>T2U!F9</f>
        <v>52.92</v>
      </c>
      <c r="F41" s="572">
        <f>T2U!$C9</f>
        <v>54.92</v>
      </c>
    </row>
    <row r="42" spans="1:6" x14ac:dyDescent="0.25">
      <c r="A42" s="5" t="str">
        <f>T2U!$B10</f>
        <v xml:space="preserve">Information Communication Technology </v>
      </c>
      <c r="B42" s="394">
        <f>T2U!H10</f>
        <v>0</v>
      </c>
      <c r="C42" s="394">
        <f>T2U!E10</f>
        <v>0</v>
      </c>
      <c r="D42" s="394">
        <f>T2U!D10</f>
        <v>0</v>
      </c>
      <c r="E42" s="394">
        <f>T2U!F10</f>
        <v>76</v>
      </c>
      <c r="F42" s="572">
        <f>T2U!$C10</f>
        <v>76</v>
      </c>
    </row>
    <row r="43" spans="1:6" x14ac:dyDescent="0.25">
      <c r="A43" s="5" t="str">
        <f>T2U!$B11</f>
        <v>Prevention and Protection</v>
      </c>
      <c r="B43" s="394">
        <f>T2U!H11</f>
        <v>198.93</v>
      </c>
      <c r="C43" s="394">
        <f>T2U!E11</f>
        <v>0</v>
      </c>
      <c r="D43" s="394">
        <f>T2U!D11</f>
        <v>0</v>
      </c>
      <c r="E43" s="394">
        <f>T2U!F11</f>
        <v>78.710000000000008</v>
      </c>
      <c r="F43" s="572">
        <f>T2U!$C11</f>
        <v>277.64</v>
      </c>
    </row>
    <row r="44" spans="1:6" x14ac:dyDescent="0.25">
      <c r="A44" s="5" t="str">
        <f>T2U!$B12</f>
        <v>Response and Resilience</v>
      </c>
      <c r="B44" s="394">
        <f>T2U!H12</f>
        <v>45</v>
      </c>
      <c r="C44" s="394">
        <f>T2U!E12</f>
        <v>0</v>
      </c>
      <c r="D44" s="394">
        <f>T2U!D12</f>
        <v>192.33</v>
      </c>
      <c r="E44" s="394">
        <f>T2U!F12</f>
        <v>68.5</v>
      </c>
      <c r="F44" s="572">
        <f>T2U!$C12</f>
        <v>305.83000000000004</v>
      </c>
    </row>
    <row r="45" spans="1:6" x14ac:dyDescent="0.25">
      <c r="A45" s="5" t="str">
        <f>T2U!$B13</f>
        <v>Senior Leadership Team</v>
      </c>
      <c r="B45" s="394">
        <f>T2U!H13</f>
        <v>4</v>
      </c>
      <c r="C45" s="394">
        <f>T2U!E13</f>
        <v>0</v>
      </c>
      <c r="D45" s="394">
        <f>T2U!D13</f>
        <v>0</v>
      </c>
      <c r="E45" s="394">
        <f>T2U!F13</f>
        <v>3</v>
      </c>
      <c r="F45" s="572">
        <f>T2U!$C13</f>
        <v>7</v>
      </c>
    </row>
    <row r="46" spans="1:6" x14ac:dyDescent="0.25">
      <c r="A46" s="5" t="str">
        <f>T2U!$B14</f>
        <v>Service Delivery</v>
      </c>
      <c r="B46" s="394">
        <f>T2U!H14</f>
        <v>3101</v>
      </c>
      <c r="C46" s="394">
        <f>T2U!E14</f>
        <v>2610.98</v>
      </c>
      <c r="D46" s="394">
        <f>T2U!D14</f>
        <v>0</v>
      </c>
      <c r="E46" s="394">
        <f>T2U!F14</f>
        <v>15.340000000000002</v>
      </c>
      <c r="F46" s="572">
        <f>T2U!$C14</f>
        <v>5727.32</v>
      </c>
    </row>
    <row r="47" spans="1:6" x14ac:dyDescent="0.25">
      <c r="A47" s="5" t="str">
        <f>T2U!$B15</f>
        <v>Service Transformation</v>
      </c>
      <c r="B47" s="394">
        <f>T2U!H15</f>
        <v>5</v>
      </c>
      <c r="C47" s="394">
        <f>T2U!E15</f>
        <v>0</v>
      </c>
      <c r="D47" s="394">
        <f>T2U!D15</f>
        <v>0</v>
      </c>
      <c r="E47" s="394">
        <f>T2U!F15</f>
        <v>0</v>
      </c>
      <c r="F47" s="572">
        <f>T2U!$C15</f>
        <v>5</v>
      </c>
    </row>
    <row r="48" spans="1:6" x14ac:dyDescent="0.25">
      <c r="A48" s="5" t="str">
        <f>T2U!$B16</f>
        <v>Strategic Planning Performance and Communication</v>
      </c>
      <c r="B48" s="394">
        <f>T2U!H16</f>
        <v>2</v>
      </c>
      <c r="C48" s="394">
        <f>T2U!E16</f>
        <v>0</v>
      </c>
      <c r="D48" s="394">
        <f>T2U!D16</f>
        <v>0</v>
      </c>
      <c r="E48" s="394">
        <f>T2U!F16</f>
        <v>53.45</v>
      </c>
      <c r="F48" s="572">
        <f>T2U!$C16</f>
        <v>55.45</v>
      </c>
    </row>
    <row r="49" spans="1:9" x14ac:dyDescent="0.25">
      <c r="A49" s="5" t="str">
        <f>T2U!$B17</f>
        <v>Trainees</v>
      </c>
      <c r="B49" s="394">
        <f>T2U!H17</f>
        <v>65</v>
      </c>
      <c r="C49" s="394">
        <f>T2U!E17</f>
        <v>0</v>
      </c>
      <c r="D49" s="394">
        <f>T2U!D17</f>
        <v>10</v>
      </c>
      <c r="E49" s="394">
        <f>T2U!F17</f>
        <v>1</v>
      </c>
      <c r="F49" s="572">
        <f>T2U!$C17</f>
        <v>76</v>
      </c>
    </row>
    <row r="50" spans="1:9" x14ac:dyDescent="0.25">
      <c r="A50" s="19" t="str">
        <f>T2U!$B18</f>
        <v>Training and Employee Development</v>
      </c>
      <c r="B50" s="658">
        <f>T2U!H18</f>
        <v>203</v>
      </c>
      <c r="C50" s="658">
        <f>T2U!E18</f>
        <v>0</v>
      </c>
      <c r="D50" s="658">
        <f>T2U!D18</f>
        <v>0</v>
      </c>
      <c r="E50" s="658">
        <f>T2U!F18</f>
        <v>53.360000000000007</v>
      </c>
      <c r="F50" s="659">
        <f>T2U!$C18</f>
        <v>256.36</v>
      </c>
    </row>
    <row r="52" spans="1:9" x14ac:dyDescent="0.25">
      <c r="A52" s="438" t="s">
        <v>8</v>
      </c>
    </row>
    <row r="53" spans="1:9" ht="30" customHeight="1" x14ac:dyDescent="0.25">
      <c r="A53" s="1002" t="s">
        <v>831</v>
      </c>
      <c r="B53" s="1002"/>
      <c r="C53" s="1002"/>
      <c r="D53" s="1002"/>
      <c r="E53" s="1002"/>
      <c r="F53" s="1002"/>
      <c r="G53" s="1002"/>
    </row>
    <row r="54" spans="1:9" x14ac:dyDescent="0.25">
      <c r="A54" t="s">
        <v>531</v>
      </c>
    </row>
    <row r="55" spans="1:9" ht="30" customHeight="1" x14ac:dyDescent="0.25">
      <c r="A55" s="992" t="s">
        <v>230</v>
      </c>
      <c r="B55" s="992"/>
      <c r="C55" s="992"/>
      <c r="D55" s="992"/>
      <c r="E55" s="992"/>
      <c r="F55" s="992"/>
      <c r="G55" s="992"/>
      <c r="H55" s="552"/>
      <c r="I55" s="552"/>
    </row>
    <row r="56" spans="1:9" x14ac:dyDescent="0.25">
      <c r="A56" t="s">
        <v>229</v>
      </c>
      <c r="D56" s="548"/>
    </row>
    <row r="57" spans="1:9" x14ac:dyDescent="0.25">
      <c r="A57" s="548" t="s">
        <v>524</v>
      </c>
    </row>
  </sheetData>
  <sheetProtection algorithmName="SHA-512" hashValue="40SVfiBZfLO8IHXJSaihhNGiHjVvg8hnb4ZSVCXLx7v+xXLfq+FvY+9BAOLaJ3Aau2yEefgsjtjMAsCNGFyx5Q==" saltValue="x9wV6qkEDCIrze7YVn0fFg==" spinCount="100000" sheet="1" objects="1" scenarios="1"/>
  <mergeCells count="4">
    <mergeCell ref="A1:I1"/>
    <mergeCell ref="A27:G27"/>
    <mergeCell ref="A53:G53"/>
    <mergeCell ref="A55:G55"/>
  </mergeCells>
  <hyperlinks>
    <hyperlink ref="A2" location="'Table of Contents'!A1" display="Back to Table of Conten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pageSetUpPr fitToPage="1"/>
  </sheetPr>
  <dimension ref="A1:K40"/>
  <sheetViews>
    <sheetView showGridLines="0" workbookViewId="0">
      <pane ySplit="2" topLeftCell="A3" activePane="bottomLeft" state="frozen"/>
      <selection sqref="A1:C1"/>
      <selection pane="bottomLeft" sqref="A1:H1"/>
    </sheetView>
  </sheetViews>
  <sheetFormatPr defaultRowHeight="15" x14ac:dyDescent="0.25"/>
  <cols>
    <col min="1" max="1" width="32.5703125" customWidth="1"/>
    <col min="2" max="2" width="12.42578125" bestFit="1" customWidth="1"/>
    <col min="3" max="3" width="9.28515625" customWidth="1"/>
    <col min="4" max="5" width="9" bestFit="1" customWidth="1"/>
    <col min="6" max="6" width="10.5703125" customWidth="1"/>
    <col min="7" max="7" width="11.140625" customWidth="1"/>
    <col min="8" max="8" width="10.7109375" customWidth="1"/>
    <col min="9" max="9" width="9.28515625" customWidth="1"/>
    <col min="10" max="10" width="11.42578125" customWidth="1"/>
    <col min="11" max="11" width="12.42578125" customWidth="1"/>
  </cols>
  <sheetData>
    <row r="1" spans="1:11" ht="15.75" x14ac:dyDescent="0.25">
      <c r="A1" s="993" t="s">
        <v>523</v>
      </c>
      <c r="B1" s="993"/>
      <c r="C1" s="993"/>
      <c r="D1" s="993"/>
      <c r="E1" s="993"/>
      <c r="F1" s="993"/>
      <c r="G1" s="993"/>
      <c r="H1" s="993"/>
    </row>
    <row r="2" spans="1:11" ht="18" x14ac:dyDescent="0.25">
      <c r="A2" s="790" t="s">
        <v>598</v>
      </c>
      <c r="B2" s="1"/>
      <c r="C2" s="1"/>
      <c r="D2" s="1"/>
      <c r="E2" s="1"/>
      <c r="F2" s="1"/>
      <c r="G2" s="1"/>
      <c r="H2" s="1"/>
    </row>
    <row r="3" spans="1:11" ht="18" x14ac:dyDescent="0.25">
      <c r="A3" s="1"/>
      <c r="B3" s="1"/>
      <c r="C3" s="1"/>
      <c r="D3" s="1"/>
      <c r="E3" s="1"/>
      <c r="F3" s="1"/>
      <c r="G3" s="1"/>
      <c r="H3" s="1"/>
      <c r="I3" s="31"/>
      <c r="J3" s="31"/>
    </row>
    <row r="4" spans="1:11" ht="37.5" customHeight="1" x14ac:dyDescent="0.25">
      <c r="A4" s="666" t="s">
        <v>588</v>
      </c>
      <c r="B4" s="666"/>
      <c r="C4" s="666"/>
      <c r="D4" s="666"/>
      <c r="E4" s="666"/>
      <c r="F4" s="666"/>
      <c r="G4" s="666"/>
      <c r="H4" s="666"/>
      <c r="I4" s="666"/>
      <c r="J4" s="666"/>
    </row>
    <row r="5" spans="1:11" ht="15" customHeight="1" x14ac:dyDescent="0.25">
      <c r="A5" t="s">
        <v>368</v>
      </c>
      <c r="B5" t="s">
        <v>753</v>
      </c>
      <c r="C5" s="631"/>
      <c r="D5" s="631"/>
      <c r="E5" s="631"/>
      <c r="F5" s="631"/>
      <c r="G5" s="631"/>
      <c r="H5" s="631"/>
      <c r="I5" s="631"/>
      <c r="J5" s="631"/>
    </row>
    <row r="6" spans="1:11" ht="15" customHeight="1" x14ac:dyDescent="0.25">
      <c r="A6" t="s">
        <v>369</v>
      </c>
      <c r="B6" t="s">
        <v>371</v>
      </c>
      <c r="C6" s="631"/>
      <c r="D6" s="631"/>
      <c r="E6" s="631"/>
      <c r="F6" s="631"/>
      <c r="G6" s="631"/>
      <c r="H6" s="631"/>
      <c r="I6" s="631"/>
      <c r="J6" s="631"/>
    </row>
    <row r="7" spans="1:11" ht="15" customHeight="1" x14ac:dyDescent="0.25">
      <c r="A7" t="s">
        <v>370</v>
      </c>
      <c r="B7" t="s">
        <v>372</v>
      </c>
      <c r="C7" s="631"/>
      <c r="D7" s="631"/>
      <c r="E7" s="631"/>
      <c r="F7" s="631"/>
      <c r="G7" s="631"/>
      <c r="H7" s="631"/>
      <c r="I7" s="631"/>
      <c r="J7" s="631"/>
      <c r="K7" s="672"/>
    </row>
    <row r="8" spans="1:11" ht="17.25" customHeight="1" x14ac:dyDescent="0.25">
      <c r="A8" s="311"/>
      <c r="B8" s="32"/>
      <c r="C8" s="32"/>
      <c r="D8" s="32"/>
      <c r="E8" s="32"/>
      <c r="F8" s="32"/>
      <c r="G8" s="669"/>
      <c r="H8" s="644" t="s">
        <v>6</v>
      </c>
      <c r="I8" s="644"/>
      <c r="J8" s="644" t="s">
        <v>7</v>
      </c>
      <c r="K8" s="672"/>
    </row>
    <row r="9" spans="1:11" ht="40.5" customHeight="1" x14ac:dyDescent="0.25">
      <c r="A9" s="2" t="s">
        <v>222</v>
      </c>
      <c r="B9" s="3" t="s">
        <v>27</v>
      </c>
      <c r="C9" s="3" t="s">
        <v>9</v>
      </c>
      <c r="D9" s="4" t="s">
        <v>2</v>
      </c>
      <c r="E9" s="4" t="s">
        <v>3</v>
      </c>
      <c r="F9" s="270" t="s">
        <v>29</v>
      </c>
      <c r="G9" s="671" t="s">
        <v>10</v>
      </c>
      <c r="H9" s="635" t="s">
        <v>11</v>
      </c>
      <c r="I9" s="671" t="s">
        <v>10</v>
      </c>
      <c r="J9" s="670" t="s">
        <v>12</v>
      </c>
    </row>
    <row r="10" spans="1:11" ht="22.5" customHeight="1" x14ac:dyDescent="0.25">
      <c r="A10" s="5" t="s">
        <v>13</v>
      </c>
      <c r="B10" s="394">
        <f>GETPIVOTDATA("Sum of WT",'h2'!$A$3,"ReportingLevel","1:LA")</f>
        <v>2954</v>
      </c>
      <c r="C10" s="394">
        <f>GETPIVOTDATA("Sum of RDS",'h2'!$A$3,"ReportingLevel","1:LA")</f>
        <v>2953</v>
      </c>
      <c r="D10" s="437">
        <f>GETPIVOTDATA("Sum of Control",'h2'!$A$3,"ReportingLevel","1:LA")</f>
        <v>0</v>
      </c>
      <c r="E10" s="437">
        <f>GETPIVOTDATA("Sum of Support",'h2'!$A$3,"ReportingLevel","1:LA")</f>
        <v>0</v>
      </c>
      <c r="F10" s="394">
        <f>GETPIVOTDATA("Sum of Vol",'h2'!$A$3,"ReportingLevel","1:LA")</f>
        <v>317</v>
      </c>
      <c r="G10" s="395">
        <f>SUM(B10:F10)</f>
        <v>6224</v>
      </c>
      <c r="H10" s="395">
        <f>SUM(B10:E10)</f>
        <v>5907</v>
      </c>
      <c r="I10" s="404">
        <f>G10/$G$14</f>
        <v>0.78725018972931948</v>
      </c>
      <c r="J10" s="403">
        <f>H10/$H$14</f>
        <v>0.77836342074054554</v>
      </c>
    </row>
    <row r="11" spans="1:11" ht="15" customHeight="1" x14ac:dyDescent="0.25">
      <c r="A11" s="5" t="s">
        <v>14</v>
      </c>
      <c r="B11" s="394">
        <f>GETPIVOTDATA("Sum of WT",'h2'!$A$3,"ReportingLevel","2:LSO")</f>
        <v>388</v>
      </c>
      <c r="C11" s="394">
        <f>GETPIVOTDATA("Sum of RDS",'h2'!$A$3,"ReportingLevel","2:LSO")</f>
        <v>0</v>
      </c>
      <c r="D11" s="394">
        <f>GETPIVOTDATA("Sum of Control",'h2'!$A$3,"ReportingLevel","2:LSO")</f>
        <v>0</v>
      </c>
      <c r="E11" s="394">
        <f>IF(ISBLANK('T2'!E6),0,'T2'!E6)</f>
        <v>0</v>
      </c>
      <c r="F11" s="394">
        <f>IF(ISBLANK('T2'!F6),0,'T2'!F6)</f>
        <v>0</v>
      </c>
      <c r="G11" s="395">
        <f>SUM(B11:F11)</f>
        <v>388</v>
      </c>
      <c r="H11" s="395">
        <f>SUM(B11:E11)</f>
        <v>388</v>
      </c>
      <c r="I11" s="404">
        <f>G11/$G$14</f>
        <v>4.9076650645079684E-2</v>
      </c>
      <c r="J11" s="404">
        <f>H11/$H$14</f>
        <v>5.1126630649624458E-2</v>
      </c>
    </row>
    <row r="12" spans="1:11" ht="15" customHeight="1" x14ac:dyDescent="0.25">
      <c r="A12" s="5" t="s">
        <v>15</v>
      </c>
      <c r="B12" s="394">
        <f>GETPIVOTDATA("Sum of WT",'h2'!$A$3,"ReportingLevel","3:SDA")</f>
        <v>146</v>
      </c>
      <c r="C12" s="394">
        <f>GETPIVOTDATA("Sum of RDS",'h2'!$A$3,"ReportingLevel","3:SDA")</f>
        <v>0</v>
      </c>
      <c r="D12" s="394">
        <f>GETPIVOTDATA("Sum of Control",'h2'!$A$3,"ReportingLevel","3:SDA")</f>
        <v>0</v>
      </c>
      <c r="E12" s="394">
        <f>GETPIVOTDATA("Sum of Support",'h2'!$A$3,"ReportingLevel","3:SDA")</f>
        <v>489</v>
      </c>
      <c r="F12" s="394">
        <f>GETPIVOTDATA("Sum of Vol",'h2'!$A$3,"ReportingLevel","3:SDA")</f>
        <v>0</v>
      </c>
      <c r="G12" s="395">
        <f>SUM(B12:F12)</f>
        <v>635</v>
      </c>
      <c r="H12" s="395">
        <f>SUM(B12:E12)</f>
        <v>635</v>
      </c>
      <c r="I12" s="404">
        <f>G12/$G$14</f>
        <v>8.0318745256767007E-2</v>
      </c>
      <c r="J12" s="404">
        <f>H12/$H$14</f>
        <v>8.3673738305442086E-2</v>
      </c>
    </row>
    <row r="13" spans="1:11" ht="15" customHeight="1" x14ac:dyDescent="0.25">
      <c r="A13" s="19" t="s">
        <v>16</v>
      </c>
      <c r="B13" s="394">
        <f>GETPIVOTDATA("Sum of WT",'h2'!$A$3,"ReportingLevel","4:National")</f>
        <v>149</v>
      </c>
      <c r="C13" s="394">
        <f>GETPIVOTDATA("Sum of RDS",'h2'!$A$3,"ReportingLevel","4:National")</f>
        <v>0</v>
      </c>
      <c r="D13" s="394">
        <f>GETPIVOTDATA("Sum of Control",'h2'!$A$3,"ReportingLevel","4:National")</f>
        <v>207</v>
      </c>
      <c r="E13" s="658">
        <f>GETPIVOTDATA("Sum of Support",'h2'!$A$3,"ReportingLevel","4:National")</f>
        <v>303</v>
      </c>
      <c r="F13" s="658">
        <f>GETPIVOTDATA("Sum of Vol",'h2'!$A$3,"ReportingLevel","4:National")</f>
        <v>0</v>
      </c>
      <c r="G13" s="675">
        <f>SUM(B13:F13)</f>
        <v>659</v>
      </c>
      <c r="H13" s="675">
        <f>SUM(B13:E13)</f>
        <v>659</v>
      </c>
      <c r="I13" s="676">
        <f>G13/$G$14</f>
        <v>8.3354414368833799E-2</v>
      </c>
      <c r="J13" s="404">
        <f>H13/$H$14</f>
        <v>8.6836210304387929E-2</v>
      </c>
    </row>
    <row r="14" spans="1:11" ht="30" customHeight="1" thickBot="1" x14ac:dyDescent="0.3">
      <c r="A14" s="34" t="s">
        <v>17</v>
      </c>
      <c r="B14" s="399">
        <f t="shared" ref="B14:H14" si="0">SUM(B10:B13)</f>
        <v>3637</v>
      </c>
      <c r="C14" s="399">
        <f t="shared" si="0"/>
        <v>2953</v>
      </c>
      <c r="D14" s="399">
        <f t="shared" si="0"/>
        <v>207</v>
      </c>
      <c r="E14" s="405">
        <f t="shared" si="0"/>
        <v>792</v>
      </c>
      <c r="F14" s="405">
        <f t="shared" si="0"/>
        <v>317</v>
      </c>
      <c r="G14" s="405">
        <f t="shared" si="0"/>
        <v>7906</v>
      </c>
      <c r="H14" s="405">
        <f t="shared" si="0"/>
        <v>7589</v>
      </c>
      <c r="I14" s="674">
        <f>G14/G14</f>
        <v>1</v>
      </c>
      <c r="J14" s="35">
        <f>H14/H14</f>
        <v>1</v>
      </c>
    </row>
    <row r="15" spans="1:11" ht="15" customHeight="1" x14ac:dyDescent="0.25">
      <c r="A15" s="515"/>
    </row>
    <row r="16" spans="1:11" ht="15" customHeight="1" x14ac:dyDescent="0.25">
      <c r="A16" s="512" t="s">
        <v>8</v>
      </c>
    </row>
    <row r="17" spans="1:10" ht="15" customHeight="1" x14ac:dyDescent="0.25">
      <c r="A17" s="974" t="s">
        <v>832</v>
      </c>
    </row>
    <row r="18" spans="1:10" ht="62.25" customHeight="1" x14ac:dyDescent="0.25">
      <c r="A18" s="1003" t="s">
        <v>833</v>
      </c>
      <c r="B18" s="1003"/>
      <c r="C18" s="1003"/>
      <c r="D18" s="1003"/>
      <c r="E18" s="1003"/>
      <c r="F18" s="1003"/>
      <c r="G18" s="1003"/>
      <c r="H18" s="1003"/>
      <c r="I18" s="1003"/>
      <c r="J18" s="1003"/>
    </row>
    <row r="19" spans="1:10" ht="15" customHeight="1" x14ac:dyDescent="0.25"/>
    <row r="20" spans="1:10" ht="15" customHeight="1" x14ac:dyDescent="0.25"/>
    <row r="21" spans="1:10" ht="15" customHeight="1" x14ac:dyDescent="0.25">
      <c r="B21" s="630"/>
    </row>
    <row r="22" spans="1:10" ht="15" customHeight="1" x14ac:dyDescent="0.25"/>
    <row r="23" spans="1:10" ht="15" customHeight="1" x14ac:dyDescent="0.25"/>
    <row r="24" spans="1:10" ht="15" customHeight="1" x14ac:dyDescent="0.25"/>
    <row r="25" spans="1:10" ht="15" customHeight="1" x14ac:dyDescent="0.25"/>
    <row r="26" spans="1:10" ht="15" customHeight="1" x14ac:dyDescent="0.25">
      <c r="A26" s="36"/>
      <c r="B26" s="406"/>
      <c r="C26" s="406"/>
      <c r="D26" s="406"/>
      <c r="E26" s="406"/>
      <c r="F26" s="406"/>
      <c r="G26" s="406"/>
      <c r="H26" s="406"/>
      <c r="I26" s="38"/>
      <c r="J26" s="408"/>
    </row>
    <row r="27" spans="1:10" ht="15" customHeight="1" x14ac:dyDescent="0.25"/>
    <row r="28" spans="1:10" ht="15" customHeight="1" x14ac:dyDescent="0.25"/>
    <row r="29" spans="1:10" ht="33" customHeight="1" x14ac:dyDescent="0.25"/>
    <row r="30" spans="1:10" ht="15" customHeight="1" x14ac:dyDescent="0.25"/>
    <row r="31" spans="1:10" ht="15" customHeight="1" x14ac:dyDescent="0.25"/>
    <row r="32" spans="1:10" ht="15" customHeight="1" x14ac:dyDescent="0.25"/>
    <row r="33" ht="15" customHeight="1" x14ac:dyDescent="0.25"/>
    <row r="34" ht="15" customHeight="1" x14ac:dyDescent="0.25"/>
    <row r="35" ht="15" customHeight="1" x14ac:dyDescent="0.25"/>
    <row r="36" ht="15" customHeight="1" x14ac:dyDescent="0.25"/>
    <row r="37" ht="15" customHeight="1" x14ac:dyDescent="0.25"/>
    <row r="40" ht="30" customHeight="1" x14ac:dyDescent="0.25"/>
  </sheetData>
  <sheetProtection algorithmName="SHA-512" hashValue="v/AjB5vkXkGB1GaYcN2qTYqJ0hqitxzvdYfbGdz4dxwdsZlpjrTtpAS4kOHEmQeNFLkLu6qiHqhO4NXe1yiJVw==" saltValue="zE3OSFMjXG6rD4i7+LMpiA==" spinCount="100000" sheet="1" scenarios="1" pivotTables="0"/>
  <mergeCells count="2">
    <mergeCell ref="A18:J18"/>
    <mergeCell ref="A1:H1"/>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59" orientation="portrait" r:id="rId1"/>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39997558519241921"/>
    <pageSetUpPr fitToPage="1"/>
  </sheetPr>
  <dimension ref="A1:I78"/>
  <sheetViews>
    <sheetView showGridLines="0" workbookViewId="0">
      <pane ySplit="2" topLeftCell="A3" activePane="bottomLeft" state="frozen"/>
      <selection sqref="A1:C1"/>
      <selection pane="bottomLeft" sqref="A1:H1"/>
    </sheetView>
  </sheetViews>
  <sheetFormatPr defaultRowHeight="15" x14ac:dyDescent="0.25"/>
  <cols>
    <col min="1" max="1" width="17.140625" customWidth="1"/>
    <col min="2" max="2" width="59.42578125" bestFit="1" customWidth="1"/>
    <col min="3" max="3" width="24.28515625" customWidth="1"/>
    <col min="4" max="4" width="23" customWidth="1"/>
    <col min="5" max="5" width="9.7109375" customWidth="1"/>
    <col min="6" max="6" width="10.85546875" customWidth="1"/>
    <col min="7" max="7" width="12" customWidth="1"/>
    <col min="8" max="8" width="12.7109375" customWidth="1"/>
    <col min="9" max="9" width="19.7109375" customWidth="1"/>
  </cols>
  <sheetData>
    <row r="1" spans="1:9" ht="15.75" x14ac:dyDescent="0.25">
      <c r="A1" s="993" t="s">
        <v>523</v>
      </c>
      <c r="B1" s="993"/>
      <c r="C1" s="993"/>
      <c r="D1" s="993"/>
      <c r="E1" s="993"/>
      <c r="F1" s="993"/>
      <c r="G1" s="993"/>
      <c r="H1" s="993"/>
    </row>
    <row r="2" spans="1:9" ht="18" x14ac:dyDescent="0.25">
      <c r="A2" s="790" t="s">
        <v>598</v>
      </c>
      <c r="B2" s="1"/>
      <c r="C2" s="1"/>
      <c r="D2" s="1"/>
      <c r="E2" s="1"/>
      <c r="F2" s="1"/>
      <c r="G2" s="1"/>
      <c r="H2" s="1"/>
    </row>
    <row r="3" spans="1:9" ht="18" x14ac:dyDescent="0.25">
      <c r="A3" s="1"/>
      <c r="B3" s="1"/>
      <c r="C3" s="1"/>
      <c r="D3" s="1"/>
      <c r="E3" s="1"/>
      <c r="F3" s="1"/>
      <c r="G3" s="1"/>
      <c r="H3" s="1"/>
      <c r="I3" s="46"/>
    </row>
    <row r="4" spans="1:9" ht="30" customHeight="1" x14ac:dyDescent="0.25">
      <c r="A4" s="1004" t="s">
        <v>587</v>
      </c>
      <c r="B4" s="1004"/>
      <c r="C4" s="1004"/>
      <c r="D4" s="1004"/>
      <c r="E4" s="1004"/>
      <c r="F4" s="1004"/>
      <c r="G4" s="1004"/>
      <c r="H4" s="1004"/>
      <c r="I4" s="1004"/>
    </row>
    <row r="5" spans="1:9" ht="15" customHeight="1" x14ac:dyDescent="0.25">
      <c r="A5" t="s">
        <v>368</v>
      </c>
      <c r="B5" t="s">
        <v>754</v>
      </c>
      <c r="C5" s="631"/>
      <c r="D5" s="631"/>
      <c r="E5" s="631"/>
      <c r="F5" s="631"/>
      <c r="G5" s="631"/>
      <c r="H5" s="631"/>
      <c r="I5" s="631"/>
    </row>
    <row r="6" spans="1:9" ht="15" customHeight="1" x14ac:dyDescent="0.25">
      <c r="A6" t="s">
        <v>369</v>
      </c>
      <c r="B6" t="s">
        <v>371</v>
      </c>
      <c r="C6" s="631"/>
      <c r="D6" s="631"/>
      <c r="E6" s="631"/>
      <c r="F6" s="631"/>
      <c r="G6" s="631"/>
      <c r="H6" s="631"/>
      <c r="I6" s="631"/>
    </row>
    <row r="7" spans="1:9" ht="15" customHeight="1" x14ac:dyDescent="0.25">
      <c r="A7" t="s">
        <v>370</v>
      </c>
      <c r="B7" t="s">
        <v>372</v>
      </c>
      <c r="C7" s="631"/>
      <c r="D7" s="631"/>
      <c r="E7" s="631"/>
      <c r="F7" s="631"/>
      <c r="G7" s="631"/>
      <c r="H7" s="631"/>
      <c r="I7" s="631"/>
    </row>
    <row r="8" spans="1:9" ht="30" customHeight="1" x14ac:dyDescent="0.25">
      <c r="B8" s="47"/>
      <c r="C8" s="48" t="s">
        <v>27</v>
      </c>
      <c r="D8" s="48" t="s">
        <v>28</v>
      </c>
      <c r="E8" s="48" t="s">
        <v>2</v>
      </c>
      <c r="F8" s="48" t="s">
        <v>3</v>
      </c>
      <c r="G8" s="48" t="s">
        <v>29</v>
      </c>
      <c r="H8" s="4" t="s">
        <v>10</v>
      </c>
      <c r="I8" s="4" t="s">
        <v>105</v>
      </c>
    </row>
    <row r="9" spans="1:9" ht="22.5" customHeight="1" thickBot="1" x14ac:dyDescent="0.3">
      <c r="B9" s="49" t="s">
        <v>82</v>
      </c>
      <c r="C9" s="402">
        <f t="shared" ref="C9:I9" si="0">C44+C64+C70+C73</f>
        <v>3702</v>
      </c>
      <c r="D9" s="402">
        <f t="shared" si="0"/>
        <v>2953</v>
      </c>
      <c r="E9" s="402">
        <f t="shared" si="0"/>
        <v>207</v>
      </c>
      <c r="F9" s="402">
        <f t="shared" si="0"/>
        <v>1035</v>
      </c>
      <c r="G9" s="402">
        <f t="shared" si="0"/>
        <v>317</v>
      </c>
      <c r="H9" s="402">
        <f t="shared" si="0"/>
        <v>8214</v>
      </c>
      <c r="I9" s="402">
        <f t="shared" si="0"/>
        <v>7897</v>
      </c>
    </row>
    <row r="10" spans="1:9" ht="15.75" customHeight="1" x14ac:dyDescent="0.25">
      <c r="B10" s="50"/>
      <c r="C10" s="51"/>
      <c r="D10" s="51"/>
      <c r="E10" s="51"/>
      <c r="F10" s="51"/>
      <c r="G10" s="51"/>
      <c r="H10" s="52"/>
      <c r="I10" s="52"/>
    </row>
    <row r="11" spans="1:9" ht="30" customHeight="1" x14ac:dyDescent="0.25">
      <c r="A11" s="53" t="s">
        <v>534</v>
      </c>
      <c r="B11" s="53" t="s">
        <v>30</v>
      </c>
      <c r="C11" s="98" t="s">
        <v>27</v>
      </c>
      <c r="D11" s="98" t="s">
        <v>28</v>
      </c>
      <c r="E11" s="98" t="s">
        <v>2</v>
      </c>
      <c r="F11" s="98" t="s">
        <v>3</v>
      </c>
      <c r="G11" s="98" t="s">
        <v>29</v>
      </c>
      <c r="H11" s="3" t="s">
        <v>10</v>
      </c>
      <c r="I11" s="3" t="s">
        <v>105</v>
      </c>
    </row>
    <row r="12" spans="1:9" ht="19.5" customHeight="1" x14ac:dyDescent="0.25">
      <c r="A12" s="577" t="s">
        <v>306</v>
      </c>
      <c r="B12" s="56" t="s">
        <v>31</v>
      </c>
      <c r="C12" s="60">
        <f>'h3'!B5</f>
        <v>153</v>
      </c>
      <c r="D12" s="60">
        <f>'h3'!C5</f>
        <v>9</v>
      </c>
      <c r="E12" s="652">
        <f>'h3'!D5</f>
        <v>0</v>
      </c>
      <c r="F12" s="652">
        <f>'h3'!E5</f>
        <v>0</v>
      </c>
      <c r="G12" s="60">
        <f>'h3'!F5</f>
        <v>0</v>
      </c>
      <c r="H12" s="58">
        <f t="shared" ref="H12:H43" si="1">SUM(C12:G12)</f>
        <v>162</v>
      </c>
      <c r="I12" s="58">
        <f t="shared" ref="I12:I43" si="2">H12-G12</f>
        <v>162</v>
      </c>
    </row>
    <row r="13" spans="1:9" ht="15" customHeight="1" x14ac:dyDescent="0.25">
      <c r="A13" s="578" t="s">
        <v>307</v>
      </c>
      <c r="B13" s="59" t="s">
        <v>32</v>
      </c>
      <c r="C13" s="60">
        <f>'h3'!B6</f>
        <v>30</v>
      </c>
      <c r="D13" s="60">
        <f>'h3'!C6</f>
        <v>285</v>
      </c>
      <c r="E13" s="652">
        <f>'h3'!D6</f>
        <v>0</v>
      </c>
      <c r="F13" s="652">
        <f>'h3'!E6</f>
        <v>0</v>
      </c>
      <c r="G13" s="60">
        <f>'h3'!F6</f>
        <v>0</v>
      </c>
      <c r="H13" s="58">
        <f t="shared" si="1"/>
        <v>315</v>
      </c>
      <c r="I13" s="58">
        <f t="shared" si="2"/>
        <v>315</v>
      </c>
    </row>
    <row r="14" spans="1:9" ht="15" customHeight="1" x14ac:dyDescent="0.25">
      <c r="A14" s="578" t="s">
        <v>313</v>
      </c>
      <c r="B14" s="59" t="s">
        <v>33</v>
      </c>
      <c r="C14" s="60">
        <f>'h3'!B7</f>
        <v>28</v>
      </c>
      <c r="D14" s="60">
        <f>'h3'!C7</f>
        <v>98</v>
      </c>
      <c r="E14" s="652">
        <f>'h3'!D7</f>
        <v>0</v>
      </c>
      <c r="F14" s="652">
        <f>'h3'!E7</f>
        <v>0</v>
      </c>
      <c r="G14" s="60">
        <f>'h3'!F7</f>
        <v>0</v>
      </c>
      <c r="H14" s="58">
        <f t="shared" si="1"/>
        <v>126</v>
      </c>
      <c r="I14" s="58">
        <f t="shared" si="2"/>
        <v>126</v>
      </c>
    </row>
    <row r="15" spans="1:9" ht="15" customHeight="1" x14ac:dyDescent="0.25">
      <c r="A15" s="578" t="s">
        <v>308</v>
      </c>
      <c r="B15" s="59" t="s">
        <v>34</v>
      </c>
      <c r="C15" s="60">
        <f>'h3'!B8</f>
        <v>54</v>
      </c>
      <c r="D15" s="60">
        <f>'h3'!C8</f>
        <v>177</v>
      </c>
      <c r="E15" s="652">
        <f>'h3'!D8</f>
        <v>0</v>
      </c>
      <c r="F15" s="652">
        <f>'h3'!E8</f>
        <v>0</v>
      </c>
      <c r="G15" s="60">
        <f>'h3'!F8</f>
        <v>203</v>
      </c>
      <c r="H15" s="58">
        <f t="shared" si="1"/>
        <v>434</v>
      </c>
      <c r="I15" s="58">
        <f t="shared" si="2"/>
        <v>231</v>
      </c>
    </row>
    <row r="16" spans="1:9" ht="15" customHeight="1" x14ac:dyDescent="0.25">
      <c r="A16" s="578" t="s">
        <v>309</v>
      </c>
      <c r="B16" s="59" t="s">
        <v>262</v>
      </c>
      <c r="C16" s="60">
        <f>'h3'!B9</f>
        <v>297</v>
      </c>
      <c r="D16" s="60">
        <f>'h3'!C9</f>
        <v>9</v>
      </c>
      <c r="E16" s="652">
        <f>'h3'!D9</f>
        <v>0</v>
      </c>
      <c r="F16" s="652">
        <f>'h3'!E9</f>
        <v>0</v>
      </c>
      <c r="G16" s="60">
        <f>'h3'!F9</f>
        <v>0</v>
      </c>
      <c r="H16" s="58">
        <f t="shared" si="1"/>
        <v>306</v>
      </c>
      <c r="I16" s="58">
        <f t="shared" si="2"/>
        <v>306</v>
      </c>
    </row>
    <row r="17" spans="1:9" ht="15" customHeight="1" x14ac:dyDescent="0.25">
      <c r="A17" s="578" t="s">
        <v>287</v>
      </c>
      <c r="B17" s="59" t="s">
        <v>35</v>
      </c>
      <c r="C17" s="60">
        <f>'h3'!B10</f>
        <v>25</v>
      </c>
      <c r="D17" s="60">
        <f>'h3'!C10</f>
        <v>20</v>
      </c>
      <c r="E17" s="652">
        <f>'h3'!D10</f>
        <v>0</v>
      </c>
      <c r="F17" s="652">
        <f>'h3'!E10</f>
        <v>0</v>
      </c>
      <c r="G17" s="60">
        <f>'h3'!F10</f>
        <v>0</v>
      </c>
      <c r="H17" s="58">
        <f t="shared" si="1"/>
        <v>45</v>
      </c>
      <c r="I17" s="58">
        <f t="shared" si="2"/>
        <v>45</v>
      </c>
    </row>
    <row r="18" spans="1:9" ht="15" customHeight="1" x14ac:dyDescent="0.25">
      <c r="A18" s="578" t="s">
        <v>288</v>
      </c>
      <c r="B18" s="59" t="s">
        <v>36</v>
      </c>
      <c r="C18" s="60">
        <f>'h3'!B11</f>
        <v>53</v>
      </c>
      <c r="D18" s="60">
        <f>'h3'!C11</f>
        <v>199</v>
      </c>
      <c r="E18" s="652">
        <f>'h3'!D11</f>
        <v>0</v>
      </c>
      <c r="F18" s="652">
        <f>'h3'!E11</f>
        <v>0</v>
      </c>
      <c r="G18" s="60">
        <f>'h3'!F11</f>
        <v>6</v>
      </c>
      <c r="H18" s="58">
        <f t="shared" si="1"/>
        <v>258</v>
      </c>
      <c r="I18" s="58">
        <f t="shared" si="2"/>
        <v>252</v>
      </c>
    </row>
    <row r="19" spans="1:9" ht="15" customHeight="1" x14ac:dyDescent="0.25">
      <c r="A19" s="578" t="s">
        <v>314</v>
      </c>
      <c r="B19" s="59" t="s">
        <v>37</v>
      </c>
      <c r="C19" s="60">
        <f>'h3'!B12</f>
        <v>177</v>
      </c>
      <c r="D19" s="60">
        <f>'h3'!C12</f>
        <v>12</v>
      </c>
      <c r="E19" s="652">
        <f>'h3'!D12</f>
        <v>0</v>
      </c>
      <c r="F19" s="652">
        <f>'h3'!E12</f>
        <v>0</v>
      </c>
      <c r="G19" s="60">
        <f>'h3'!F12</f>
        <v>0</v>
      </c>
      <c r="H19" s="58">
        <f t="shared" si="1"/>
        <v>189</v>
      </c>
      <c r="I19" s="58">
        <f t="shared" si="2"/>
        <v>189</v>
      </c>
    </row>
    <row r="20" spans="1:9" ht="15" customHeight="1" x14ac:dyDescent="0.25">
      <c r="A20" s="578" t="s">
        <v>289</v>
      </c>
      <c r="B20" s="59" t="s">
        <v>38</v>
      </c>
      <c r="C20" s="60">
        <f>'h3'!B13</f>
        <v>47</v>
      </c>
      <c r="D20" s="60">
        <f>'h3'!C13</f>
        <v>77</v>
      </c>
      <c r="E20" s="652">
        <f>'h3'!D13</f>
        <v>0</v>
      </c>
      <c r="F20" s="652">
        <f>'h3'!E13</f>
        <v>0</v>
      </c>
      <c r="G20" s="60">
        <f>'h3'!F13</f>
        <v>0</v>
      </c>
      <c r="H20" s="58">
        <f t="shared" si="1"/>
        <v>124</v>
      </c>
      <c r="I20" s="58">
        <f t="shared" si="2"/>
        <v>124</v>
      </c>
    </row>
    <row r="21" spans="1:9" ht="15" customHeight="1" x14ac:dyDescent="0.25">
      <c r="A21" s="578" t="s">
        <v>316</v>
      </c>
      <c r="B21" s="59" t="s">
        <v>39</v>
      </c>
      <c r="C21" s="60">
        <f>'h3'!B14</f>
        <v>78</v>
      </c>
      <c r="D21" s="60">
        <f>'h3'!C14</f>
        <v>0</v>
      </c>
      <c r="E21" s="652">
        <f>'h3'!D14</f>
        <v>0</v>
      </c>
      <c r="F21" s="652">
        <f>'h3'!E14</f>
        <v>0</v>
      </c>
      <c r="G21" s="60">
        <f>'h3'!F14</f>
        <v>0</v>
      </c>
      <c r="H21" s="58">
        <f t="shared" si="1"/>
        <v>78</v>
      </c>
      <c r="I21" s="58">
        <f t="shared" si="2"/>
        <v>78</v>
      </c>
    </row>
    <row r="22" spans="1:9" ht="15" customHeight="1" x14ac:dyDescent="0.25">
      <c r="A22" s="578" t="s">
        <v>290</v>
      </c>
      <c r="B22" s="59" t="s">
        <v>40</v>
      </c>
      <c r="C22" s="60">
        <f>'h3'!B15</f>
        <v>24</v>
      </c>
      <c r="D22" s="60">
        <f>'h3'!C15</f>
        <v>63</v>
      </c>
      <c r="E22" s="652">
        <f>'h3'!D15</f>
        <v>0</v>
      </c>
      <c r="F22" s="652">
        <f>'h3'!E15</f>
        <v>0</v>
      </c>
      <c r="G22" s="60">
        <f>'h3'!F15</f>
        <v>0</v>
      </c>
      <c r="H22" s="58">
        <f t="shared" si="1"/>
        <v>87</v>
      </c>
      <c r="I22" s="58">
        <f t="shared" si="2"/>
        <v>87</v>
      </c>
    </row>
    <row r="23" spans="1:9" ht="15" customHeight="1" x14ac:dyDescent="0.25">
      <c r="A23" s="578" t="s">
        <v>291</v>
      </c>
      <c r="B23" s="59" t="s">
        <v>41</v>
      </c>
      <c r="C23" s="60">
        <f>'h3'!B16</f>
        <v>52</v>
      </c>
      <c r="D23" s="60">
        <f>'h3'!C16</f>
        <v>0</v>
      </c>
      <c r="E23" s="652">
        <f>'h3'!D16</f>
        <v>0</v>
      </c>
      <c r="F23" s="652">
        <f>'h3'!E16</f>
        <v>0</v>
      </c>
      <c r="G23" s="60">
        <f>'h3'!F16</f>
        <v>0</v>
      </c>
      <c r="H23" s="58">
        <f t="shared" si="1"/>
        <v>52</v>
      </c>
      <c r="I23" s="58">
        <f t="shared" si="2"/>
        <v>52</v>
      </c>
    </row>
    <row r="24" spans="1:9" ht="15" customHeight="1" x14ac:dyDescent="0.25">
      <c r="A24" s="578" t="s">
        <v>293</v>
      </c>
      <c r="B24" s="59" t="s">
        <v>42</v>
      </c>
      <c r="C24" s="60">
        <f>'h3'!B17</f>
        <v>88</v>
      </c>
      <c r="D24" s="60">
        <f>'h3'!C17</f>
        <v>55</v>
      </c>
      <c r="E24" s="652">
        <f>'h3'!D17</f>
        <v>0</v>
      </c>
      <c r="F24" s="652">
        <f>'h3'!E17</f>
        <v>0</v>
      </c>
      <c r="G24" s="60">
        <f>'h3'!F17</f>
        <v>0</v>
      </c>
      <c r="H24" s="58">
        <f t="shared" si="1"/>
        <v>143</v>
      </c>
      <c r="I24" s="58">
        <f t="shared" si="2"/>
        <v>143</v>
      </c>
    </row>
    <row r="25" spans="1:9" ht="15" customHeight="1" x14ac:dyDescent="0.25">
      <c r="A25" s="578" t="s">
        <v>318</v>
      </c>
      <c r="B25" s="59" t="s">
        <v>43</v>
      </c>
      <c r="C25" s="60">
        <f>'h3'!B18</f>
        <v>274</v>
      </c>
      <c r="D25" s="60">
        <f>'h3'!C18</f>
        <v>117</v>
      </c>
      <c r="E25" s="652">
        <f>'h3'!D18</f>
        <v>0</v>
      </c>
      <c r="F25" s="652">
        <f>'h3'!E18</f>
        <v>0</v>
      </c>
      <c r="G25" s="60">
        <f>'h3'!F18</f>
        <v>0</v>
      </c>
      <c r="H25" s="58">
        <f t="shared" si="1"/>
        <v>391</v>
      </c>
      <c r="I25" s="58">
        <f t="shared" si="2"/>
        <v>391</v>
      </c>
    </row>
    <row r="26" spans="1:9" ht="15" customHeight="1" x14ac:dyDescent="0.25">
      <c r="A26" s="578" t="s">
        <v>317</v>
      </c>
      <c r="B26" s="59" t="s">
        <v>124</v>
      </c>
      <c r="C26" s="60">
        <f>'h3'!B19</f>
        <v>515</v>
      </c>
      <c r="D26" s="60">
        <f>'h3'!C19</f>
        <v>0</v>
      </c>
      <c r="E26" s="652">
        <f>'h3'!D19</f>
        <v>0</v>
      </c>
      <c r="F26" s="652">
        <f>'h3'!E19</f>
        <v>0</v>
      </c>
      <c r="G26" s="60">
        <f>'h3'!F19</f>
        <v>0</v>
      </c>
      <c r="H26" s="58">
        <f t="shared" si="1"/>
        <v>515</v>
      </c>
      <c r="I26" s="58">
        <f t="shared" si="2"/>
        <v>515</v>
      </c>
    </row>
    <row r="27" spans="1:9" ht="15" customHeight="1" x14ac:dyDescent="0.25">
      <c r="A27" s="578" t="s">
        <v>294</v>
      </c>
      <c r="B27" s="59" t="s">
        <v>44</v>
      </c>
      <c r="C27" s="60">
        <f>'h3'!B20</f>
        <v>70</v>
      </c>
      <c r="D27" s="60">
        <f>'h3'!C20</f>
        <v>556</v>
      </c>
      <c r="E27" s="652">
        <f>'h3'!D20</f>
        <v>0</v>
      </c>
      <c r="F27" s="652">
        <f>'h3'!E20</f>
        <v>0</v>
      </c>
      <c r="G27" s="60">
        <f>'h3'!F20</f>
        <v>62</v>
      </c>
      <c r="H27" s="58">
        <f t="shared" si="1"/>
        <v>688</v>
      </c>
      <c r="I27" s="58">
        <f t="shared" si="2"/>
        <v>626</v>
      </c>
    </row>
    <row r="28" spans="1:9" ht="15" customHeight="1" x14ac:dyDescent="0.25">
      <c r="A28" s="578" t="s">
        <v>295</v>
      </c>
      <c r="B28" s="59" t="s">
        <v>45</v>
      </c>
      <c r="C28" s="60">
        <f>'h3'!B21</f>
        <v>72</v>
      </c>
      <c r="D28" s="60">
        <f>'h3'!C21</f>
        <v>44</v>
      </c>
      <c r="E28" s="652">
        <f>'h3'!D21</f>
        <v>0</v>
      </c>
      <c r="F28" s="652">
        <f>'h3'!E21</f>
        <v>0</v>
      </c>
      <c r="G28" s="60">
        <f>'h3'!F21</f>
        <v>0</v>
      </c>
      <c r="H28" s="58">
        <f t="shared" si="1"/>
        <v>116</v>
      </c>
      <c r="I28" s="58">
        <f t="shared" si="2"/>
        <v>116</v>
      </c>
    </row>
    <row r="29" spans="1:9" ht="15" customHeight="1" x14ac:dyDescent="0.25">
      <c r="A29" s="578" t="s">
        <v>296</v>
      </c>
      <c r="B29" s="59" t="s">
        <v>46</v>
      </c>
      <c r="C29" s="60">
        <f>'h3'!B22</f>
        <v>26</v>
      </c>
      <c r="D29" s="60">
        <f>'h3'!C22</f>
        <v>13</v>
      </c>
      <c r="E29" s="652">
        <f>'h3'!D22</f>
        <v>0</v>
      </c>
      <c r="F29" s="652">
        <f>'h3'!E22</f>
        <v>0</v>
      </c>
      <c r="G29" s="60">
        <f>'h3'!F22</f>
        <v>0</v>
      </c>
      <c r="H29" s="58">
        <f t="shared" si="1"/>
        <v>39</v>
      </c>
      <c r="I29" s="58">
        <f t="shared" si="2"/>
        <v>39</v>
      </c>
    </row>
    <row r="30" spans="1:9" ht="15" customHeight="1" x14ac:dyDescent="0.25">
      <c r="A30" s="578" t="s">
        <v>297</v>
      </c>
      <c r="B30" s="59" t="s">
        <v>47</v>
      </c>
      <c r="C30" s="60">
        <f>'h3'!B23</f>
        <v>30</v>
      </c>
      <c r="D30" s="60">
        <f>'h3'!C23</f>
        <v>121</v>
      </c>
      <c r="E30" s="652">
        <f>'h3'!D23</f>
        <v>0</v>
      </c>
      <c r="F30" s="652">
        <f>'h3'!E23</f>
        <v>0</v>
      </c>
      <c r="G30" s="60">
        <f>'h3'!F23</f>
        <v>0</v>
      </c>
      <c r="H30" s="58">
        <f t="shared" si="1"/>
        <v>151</v>
      </c>
      <c r="I30" s="58">
        <f t="shared" si="2"/>
        <v>151</v>
      </c>
    </row>
    <row r="31" spans="1:9" ht="15" customHeight="1" x14ac:dyDescent="0.25">
      <c r="A31" s="578" t="s">
        <v>292</v>
      </c>
      <c r="B31" s="59" t="s">
        <v>48</v>
      </c>
      <c r="C31" s="60">
        <f>'h3'!B24</f>
        <v>0</v>
      </c>
      <c r="D31" s="60">
        <f>'h3'!C24</f>
        <v>133</v>
      </c>
      <c r="E31" s="652">
        <f>'h3'!D24</f>
        <v>0</v>
      </c>
      <c r="F31" s="652">
        <f>'h3'!E24</f>
        <v>0</v>
      </c>
      <c r="G31" s="60">
        <f>'h3'!F24</f>
        <v>0</v>
      </c>
      <c r="H31" s="58">
        <f t="shared" si="1"/>
        <v>133</v>
      </c>
      <c r="I31" s="58">
        <f t="shared" si="2"/>
        <v>133</v>
      </c>
    </row>
    <row r="32" spans="1:9" ht="15" customHeight="1" x14ac:dyDescent="0.25">
      <c r="A32" s="578" t="s">
        <v>298</v>
      </c>
      <c r="B32" s="59" t="s">
        <v>49</v>
      </c>
      <c r="C32" s="60">
        <f>'h3'!B25</f>
        <v>76</v>
      </c>
      <c r="D32" s="60">
        <f>'h3'!C25</f>
        <v>108</v>
      </c>
      <c r="E32" s="652">
        <f>'h3'!D25</f>
        <v>0</v>
      </c>
      <c r="F32" s="652">
        <f>'h3'!E25</f>
        <v>0</v>
      </c>
      <c r="G32" s="60">
        <f>'h3'!F25</f>
        <v>22</v>
      </c>
      <c r="H32" s="58">
        <f t="shared" si="1"/>
        <v>206</v>
      </c>
      <c r="I32" s="58">
        <f t="shared" si="2"/>
        <v>184</v>
      </c>
    </row>
    <row r="33" spans="1:9" ht="15" customHeight="1" x14ac:dyDescent="0.25">
      <c r="A33" s="578" t="s">
        <v>315</v>
      </c>
      <c r="B33" s="59" t="s">
        <v>50</v>
      </c>
      <c r="C33" s="60">
        <f>'h3'!B26</f>
        <v>166</v>
      </c>
      <c r="D33" s="60">
        <f>'h3'!C26</f>
        <v>35</v>
      </c>
      <c r="E33" s="652">
        <f>'h3'!D26</f>
        <v>0</v>
      </c>
      <c r="F33" s="652">
        <f>'h3'!E26</f>
        <v>0</v>
      </c>
      <c r="G33" s="60">
        <f>'h3'!F26</f>
        <v>0</v>
      </c>
      <c r="H33" s="58">
        <f t="shared" si="1"/>
        <v>201</v>
      </c>
      <c r="I33" s="58">
        <f t="shared" si="2"/>
        <v>201</v>
      </c>
    </row>
    <row r="34" spans="1:9" ht="15" customHeight="1" x14ac:dyDescent="0.25">
      <c r="A34" s="578" t="s">
        <v>299</v>
      </c>
      <c r="B34" s="59" t="s">
        <v>51</v>
      </c>
      <c r="C34" s="60">
        <f>'h3'!B27</f>
        <v>0</v>
      </c>
      <c r="D34" s="60">
        <f>'h3'!C27</f>
        <v>110</v>
      </c>
      <c r="E34" s="652">
        <f>'h3'!D27</f>
        <v>0</v>
      </c>
      <c r="F34" s="652">
        <f>'h3'!E27</f>
        <v>0</v>
      </c>
      <c r="G34" s="60">
        <f>'h3'!F27</f>
        <v>0</v>
      </c>
      <c r="H34" s="58">
        <f t="shared" si="1"/>
        <v>110</v>
      </c>
      <c r="I34" s="58">
        <f t="shared" si="2"/>
        <v>110</v>
      </c>
    </row>
    <row r="35" spans="1:9" ht="15" customHeight="1" x14ac:dyDescent="0.25">
      <c r="A35" s="578" t="s">
        <v>300</v>
      </c>
      <c r="B35" s="59" t="s">
        <v>52</v>
      </c>
      <c r="C35" s="60">
        <f>'h3'!B28</f>
        <v>69</v>
      </c>
      <c r="D35" s="60">
        <f>'h3'!C28</f>
        <v>132</v>
      </c>
      <c r="E35" s="652">
        <f>'h3'!D28</f>
        <v>0</v>
      </c>
      <c r="F35" s="652">
        <f>'h3'!E28</f>
        <v>0</v>
      </c>
      <c r="G35" s="60">
        <f>'h3'!F28</f>
        <v>22</v>
      </c>
      <c r="H35" s="58">
        <f t="shared" si="1"/>
        <v>223</v>
      </c>
      <c r="I35" s="58">
        <f t="shared" si="2"/>
        <v>201</v>
      </c>
    </row>
    <row r="36" spans="1:9" ht="15" customHeight="1" x14ac:dyDescent="0.25">
      <c r="A36" s="578" t="s">
        <v>310</v>
      </c>
      <c r="B36" s="59" t="s">
        <v>53</v>
      </c>
      <c r="C36" s="60">
        <f>'h3'!B29</f>
        <v>99</v>
      </c>
      <c r="D36" s="60">
        <f>'h3'!C29</f>
        <v>17</v>
      </c>
      <c r="E36" s="652">
        <f>'h3'!D29</f>
        <v>0</v>
      </c>
      <c r="F36" s="652">
        <f>'h3'!E29</f>
        <v>0</v>
      </c>
      <c r="G36" s="60">
        <f>'h3'!F29</f>
        <v>0</v>
      </c>
      <c r="H36" s="58">
        <f t="shared" si="1"/>
        <v>116</v>
      </c>
      <c r="I36" s="58">
        <f t="shared" si="2"/>
        <v>116</v>
      </c>
    </row>
    <row r="37" spans="1:9" ht="15" customHeight="1" x14ac:dyDescent="0.25">
      <c r="A37" s="578" t="s">
        <v>301</v>
      </c>
      <c r="B37" s="59" t="s">
        <v>54</v>
      </c>
      <c r="C37" s="60">
        <f>'h3'!B30</f>
        <v>56</v>
      </c>
      <c r="D37" s="60">
        <f>'h3'!C30</f>
        <v>144</v>
      </c>
      <c r="E37" s="652">
        <f>'h3'!D30</f>
        <v>0</v>
      </c>
      <c r="F37" s="652">
        <f>'h3'!E30</f>
        <v>0</v>
      </c>
      <c r="G37" s="60">
        <f>'h3'!F30</f>
        <v>0</v>
      </c>
      <c r="H37" s="58">
        <f t="shared" si="1"/>
        <v>200</v>
      </c>
      <c r="I37" s="58">
        <f t="shared" si="2"/>
        <v>200</v>
      </c>
    </row>
    <row r="38" spans="1:9" ht="15" customHeight="1" x14ac:dyDescent="0.25">
      <c r="A38" s="578" t="s">
        <v>302</v>
      </c>
      <c r="B38" s="59" t="s">
        <v>55</v>
      </c>
      <c r="C38" s="60">
        <f>'h3'!B31</f>
        <v>0</v>
      </c>
      <c r="D38" s="60">
        <f>'h3'!C31</f>
        <v>128</v>
      </c>
      <c r="E38" s="652">
        <f>'h3'!D31</f>
        <v>0</v>
      </c>
      <c r="F38" s="652">
        <f>'h3'!E31</f>
        <v>0</v>
      </c>
      <c r="G38" s="60">
        <f>'h3'!F31</f>
        <v>0</v>
      </c>
      <c r="H38" s="58">
        <f t="shared" si="1"/>
        <v>128</v>
      </c>
      <c r="I38" s="58">
        <f t="shared" si="2"/>
        <v>128</v>
      </c>
    </row>
    <row r="39" spans="1:9" ht="15" customHeight="1" x14ac:dyDescent="0.25">
      <c r="A39" s="578" t="s">
        <v>303</v>
      </c>
      <c r="B39" s="59" t="s">
        <v>56</v>
      </c>
      <c r="C39" s="60">
        <f>'h3'!B32</f>
        <v>50</v>
      </c>
      <c r="D39" s="60">
        <f>'h3'!C32</f>
        <v>58</v>
      </c>
      <c r="E39" s="652">
        <f>'h3'!D32</f>
        <v>0</v>
      </c>
      <c r="F39" s="652">
        <f>'h3'!E32</f>
        <v>0</v>
      </c>
      <c r="G39" s="60">
        <f>'h3'!F32</f>
        <v>0</v>
      </c>
      <c r="H39" s="58">
        <f t="shared" si="1"/>
        <v>108</v>
      </c>
      <c r="I39" s="58">
        <f t="shared" si="2"/>
        <v>108</v>
      </c>
    </row>
    <row r="40" spans="1:9" ht="15" customHeight="1" x14ac:dyDescent="0.25">
      <c r="A40" s="578" t="s">
        <v>304</v>
      </c>
      <c r="B40" s="59" t="s">
        <v>57</v>
      </c>
      <c r="C40" s="60">
        <f>'h3'!B33</f>
        <v>167</v>
      </c>
      <c r="D40" s="60">
        <f>'h3'!C33</f>
        <v>78</v>
      </c>
      <c r="E40" s="652">
        <f>'h3'!D33</f>
        <v>0</v>
      </c>
      <c r="F40" s="652">
        <f>'h3'!E33</f>
        <v>0</v>
      </c>
      <c r="G40" s="60">
        <f>'h3'!F33</f>
        <v>2</v>
      </c>
      <c r="H40" s="58">
        <f t="shared" si="1"/>
        <v>247</v>
      </c>
      <c r="I40" s="58">
        <f t="shared" si="2"/>
        <v>245</v>
      </c>
    </row>
    <row r="41" spans="1:9" ht="15" customHeight="1" x14ac:dyDescent="0.25">
      <c r="A41" s="578" t="s">
        <v>305</v>
      </c>
      <c r="B41" s="59" t="s">
        <v>58</v>
      </c>
      <c r="C41" s="60">
        <f>'h3'!B34</f>
        <v>49</v>
      </c>
      <c r="D41" s="60">
        <f>'h3'!C34</f>
        <v>76</v>
      </c>
      <c r="E41" s="652">
        <f>'h3'!D34</f>
        <v>0</v>
      </c>
      <c r="F41" s="652">
        <f>'h3'!E34</f>
        <v>0</v>
      </c>
      <c r="G41" s="60">
        <f>'h3'!F34</f>
        <v>0</v>
      </c>
      <c r="H41" s="58">
        <f t="shared" si="1"/>
        <v>125</v>
      </c>
      <c r="I41" s="58">
        <f t="shared" si="2"/>
        <v>125</v>
      </c>
    </row>
    <row r="42" spans="1:9" ht="15" customHeight="1" x14ac:dyDescent="0.25">
      <c r="A42" s="578" t="s">
        <v>311</v>
      </c>
      <c r="B42" s="59" t="s">
        <v>59</v>
      </c>
      <c r="C42" s="60">
        <f>'h3'!B35</f>
        <v>73</v>
      </c>
      <c r="D42" s="60">
        <f>'h3'!C35</f>
        <v>20</v>
      </c>
      <c r="E42" s="652">
        <f>'h3'!D35</f>
        <v>0</v>
      </c>
      <c r="F42" s="652">
        <f>'h3'!E35</f>
        <v>0</v>
      </c>
      <c r="G42" s="60">
        <f>'h3'!F35</f>
        <v>0</v>
      </c>
      <c r="H42" s="58">
        <f t="shared" si="1"/>
        <v>93</v>
      </c>
      <c r="I42" s="58">
        <f t="shared" si="2"/>
        <v>93</v>
      </c>
    </row>
    <row r="43" spans="1:9" ht="15" customHeight="1" x14ac:dyDescent="0.25">
      <c r="A43" s="578" t="s">
        <v>312</v>
      </c>
      <c r="B43" s="59" t="s">
        <v>60</v>
      </c>
      <c r="C43" s="60">
        <f>'h3'!B36</f>
        <v>56</v>
      </c>
      <c r="D43" s="60">
        <f>'h3'!C36</f>
        <v>59</v>
      </c>
      <c r="E43" s="652">
        <f>'h3'!D36</f>
        <v>0</v>
      </c>
      <c r="F43" s="652">
        <f>'h3'!E36</f>
        <v>0</v>
      </c>
      <c r="G43" s="60">
        <f>'h3'!F36</f>
        <v>0</v>
      </c>
      <c r="H43" s="58">
        <f t="shared" si="1"/>
        <v>115</v>
      </c>
      <c r="I43" s="58">
        <f t="shared" si="2"/>
        <v>115</v>
      </c>
    </row>
    <row r="44" spans="1:9" ht="30" customHeight="1" thickBot="1" x14ac:dyDescent="0.3">
      <c r="A44" s="63"/>
      <c r="B44" s="63" t="s">
        <v>61</v>
      </c>
      <c r="C44" s="64">
        <f t="shared" ref="C44:I44" si="3">SUM(C12:C43)</f>
        <v>2954</v>
      </c>
      <c r="D44" s="64">
        <f t="shared" si="3"/>
        <v>2953</v>
      </c>
      <c r="E44" s="651">
        <f t="shared" si="3"/>
        <v>0</v>
      </c>
      <c r="F44" s="651">
        <f t="shared" si="3"/>
        <v>0</v>
      </c>
      <c r="G44" s="64">
        <f t="shared" si="3"/>
        <v>317</v>
      </c>
      <c r="H44" s="64">
        <f t="shared" si="3"/>
        <v>6224</v>
      </c>
      <c r="I44" s="64">
        <f t="shared" si="3"/>
        <v>5907</v>
      </c>
    </row>
    <row r="45" spans="1:9" ht="19.5" customHeight="1" x14ac:dyDescent="0.25">
      <c r="A45" s="65"/>
      <c r="B45" s="65"/>
      <c r="C45" s="57"/>
      <c r="D45" s="57"/>
      <c r="E45" s="57"/>
      <c r="F45" s="57"/>
      <c r="G45" s="57"/>
      <c r="H45" s="58"/>
      <c r="I45" s="58"/>
    </row>
    <row r="46" spans="1:9" ht="30" customHeight="1" x14ac:dyDescent="0.25">
      <c r="A46" s="667" t="s">
        <v>535</v>
      </c>
      <c r="B46" s="667" t="s">
        <v>62</v>
      </c>
      <c r="C46" s="48" t="s">
        <v>27</v>
      </c>
      <c r="D46" s="48" t="s">
        <v>28</v>
      </c>
      <c r="E46" s="48" t="s">
        <v>2</v>
      </c>
      <c r="F46" s="48" t="s">
        <v>3</v>
      </c>
      <c r="G46" s="48" t="s">
        <v>29</v>
      </c>
      <c r="H46" s="4" t="s">
        <v>10</v>
      </c>
      <c r="I46" s="4" t="s">
        <v>105</v>
      </c>
    </row>
    <row r="47" spans="1:9" ht="22.5" customHeight="1" x14ac:dyDescent="0.25">
      <c r="A47" s="579" t="s">
        <v>374</v>
      </c>
      <c r="B47" s="68" t="s">
        <v>63</v>
      </c>
      <c r="C47" s="69">
        <f>'h3'!B38</f>
        <v>17</v>
      </c>
      <c r="D47" s="654">
        <f>'h3'!C38</f>
        <v>0</v>
      </c>
      <c r="E47" s="654">
        <f>'h3'!D38</f>
        <v>0</v>
      </c>
      <c r="F47" s="655">
        <f>'h3'!E38</f>
        <v>0</v>
      </c>
      <c r="G47" s="656">
        <f>'h3'!F38</f>
        <v>0</v>
      </c>
      <c r="H47" s="75">
        <f t="shared" ref="H47:H63" si="4">SUM(C47:G47)</f>
        <v>17</v>
      </c>
      <c r="I47" s="75">
        <f t="shared" ref="I47:I63" si="5">H47-G47</f>
        <v>17</v>
      </c>
    </row>
    <row r="48" spans="1:9" ht="15" customHeight="1" x14ac:dyDescent="0.25">
      <c r="A48" s="580" t="s">
        <v>375</v>
      </c>
      <c r="B48" s="70" t="s">
        <v>64</v>
      </c>
      <c r="C48" s="60">
        <f>'h3'!B39</f>
        <v>25</v>
      </c>
      <c r="D48" s="653">
        <f>'h3'!C39</f>
        <v>0</v>
      </c>
      <c r="E48" s="653">
        <f>'h3'!D39</f>
        <v>0</v>
      </c>
      <c r="F48" s="657">
        <f>'h3'!E39</f>
        <v>0</v>
      </c>
      <c r="G48" s="652">
        <f>'h3'!F39</f>
        <v>0</v>
      </c>
      <c r="H48" s="58">
        <f t="shared" si="4"/>
        <v>25</v>
      </c>
      <c r="I48" s="58">
        <f t="shared" si="5"/>
        <v>25</v>
      </c>
    </row>
    <row r="49" spans="1:9" ht="15" customHeight="1" x14ac:dyDescent="0.25">
      <c r="A49" s="580" t="s">
        <v>377</v>
      </c>
      <c r="B49" s="70" t="s">
        <v>65</v>
      </c>
      <c r="C49" s="60">
        <f>'h3'!B40</f>
        <v>26</v>
      </c>
      <c r="D49" s="653">
        <f>'h3'!C40</f>
        <v>0</v>
      </c>
      <c r="E49" s="653">
        <f>'h3'!D40</f>
        <v>0</v>
      </c>
      <c r="F49" s="657">
        <f>'h3'!E40</f>
        <v>0</v>
      </c>
      <c r="G49" s="652">
        <f>'h3'!F40</f>
        <v>0</v>
      </c>
      <c r="H49" s="58">
        <f t="shared" si="4"/>
        <v>26</v>
      </c>
      <c r="I49" s="58">
        <f t="shared" si="5"/>
        <v>26</v>
      </c>
    </row>
    <row r="50" spans="1:9" ht="15" customHeight="1" x14ac:dyDescent="0.25">
      <c r="A50" s="580" t="s">
        <v>378</v>
      </c>
      <c r="B50" s="70" t="s">
        <v>66</v>
      </c>
      <c r="C50" s="60">
        <f>'h3'!B41</f>
        <v>22</v>
      </c>
      <c r="D50" s="653">
        <f>'h3'!C41</f>
        <v>0</v>
      </c>
      <c r="E50" s="653">
        <f>'h3'!D41</f>
        <v>0</v>
      </c>
      <c r="F50" s="657">
        <f>'h3'!E41</f>
        <v>0</v>
      </c>
      <c r="G50" s="652">
        <f>'h3'!F41</f>
        <v>0</v>
      </c>
      <c r="H50" s="58">
        <f t="shared" si="4"/>
        <v>22</v>
      </c>
      <c r="I50" s="58">
        <f t="shared" si="5"/>
        <v>22</v>
      </c>
    </row>
    <row r="51" spans="1:9" ht="15" customHeight="1" x14ac:dyDescent="0.25">
      <c r="A51" s="580" t="s">
        <v>376</v>
      </c>
      <c r="B51" s="70" t="s">
        <v>67</v>
      </c>
      <c r="C51" s="60">
        <f>'h3'!B42</f>
        <v>29</v>
      </c>
      <c r="D51" s="653">
        <f>'h3'!C42</f>
        <v>0</v>
      </c>
      <c r="E51" s="653">
        <f>'h3'!D42</f>
        <v>0</v>
      </c>
      <c r="F51" s="657">
        <f>'h3'!E42</f>
        <v>0</v>
      </c>
      <c r="G51" s="652">
        <f>'h3'!F42</f>
        <v>0</v>
      </c>
      <c r="H51" s="58">
        <f t="shared" si="4"/>
        <v>29</v>
      </c>
      <c r="I51" s="58">
        <f t="shared" si="5"/>
        <v>29</v>
      </c>
    </row>
    <row r="52" spans="1:9" ht="15" customHeight="1" x14ac:dyDescent="0.25">
      <c r="A52" s="580" t="s">
        <v>379</v>
      </c>
      <c r="B52" s="70" t="s">
        <v>68</v>
      </c>
      <c r="C52" s="60">
        <f>'h3'!B43</f>
        <v>25</v>
      </c>
      <c r="D52" s="653">
        <f>'h3'!C43</f>
        <v>0</v>
      </c>
      <c r="E52" s="653">
        <f>'h3'!D43</f>
        <v>0</v>
      </c>
      <c r="F52" s="657">
        <f>'h3'!E43</f>
        <v>0</v>
      </c>
      <c r="G52" s="652">
        <f>'h3'!F43</f>
        <v>0</v>
      </c>
      <c r="H52" s="58">
        <f t="shared" si="4"/>
        <v>25</v>
      </c>
      <c r="I52" s="58">
        <f t="shared" si="5"/>
        <v>25</v>
      </c>
    </row>
    <row r="53" spans="1:9" ht="15" customHeight="1" x14ac:dyDescent="0.25">
      <c r="A53" s="580" t="s">
        <v>380</v>
      </c>
      <c r="B53" s="70" t="s">
        <v>69</v>
      </c>
      <c r="C53" s="60">
        <f>'h3'!B44</f>
        <v>25</v>
      </c>
      <c r="D53" s="653">
        <f>'h3'!C44</f>
        <v>0</v>
      </c>
      <c r="E53" s="653">
        <f>'h3'!D44</f>
        <v>0</v>
      </c>
      <c r="F53" s="657">
        <f>'h3'!E44</f>
        <v>0</v>
      </c>
      <c r="G53" s="652">
        <f>'h3'!F44</f>
        <v>0</v>
      </c>
      <c r="H53" s="58">
        <f t="shared" si="4"/>
        <v>25</v>
      </c>
      <c r="I53" s="58">
        <f t="shared" si="5"/>
        <v>25</v>
      </c>
    </row>
    <row r="54" spans="1:9" ht="15" customHeight="1" x14ac:dyDescent="0.25">
      <c r="A54" s="525" t="s">
        <v>381</v>
      </c>
      <c r="B54" s="70" t="s">
        <v>70</v>
      </c>
      <c r="C54" s="60">
        <f>'h3'!B45</f>
        <v>14</v>
      </c>
      <c r="D54" s="653">
        <f>'h3'!C45</f>
        <v>0</v>
      </c>
      <c r="E54" s="653">
        <f>'h3'!D45</f>
        <v>0</v>
      </c>
      <c r="F54" s="657">
        <f>'h3'!E45</f>
        <v>0</v>
      </c>
      <c r="G54" s="652">
        <f>'h3'!F45</f>
        <v>0</v>
      </c>
      <c r="H54" s="58">
        <f t="shared" si="4"/>
        <v>14</v>
      </c>
      <c r="I54" s="58">
        <f t="shared" si="5"/>
        <v>14</v>
      </c>
    </row>
    <row r="55" spans="1:9" ht="15" customHeight="1" x14ac:dyDescent="0.25">
      <c r="A55" s="580" t="s">
        <v>382</v>
      </c>
      <c r="B55" s="70" t="s">
        <v>178</v>
      </c>
      <c r="C55" s="60">
        <f>'h3'!B46</f>
        <v>30</v>
      </c>
      <c r="D55" s="653">
        <f>'h3'!C46</f>
        <v>0</v>
      </c>
      <c r="E55" s="653">
        <f>'h3'!D46</f>
        <v>0</v>
      </c>
      <c r="F55" s="657">
        <f>'h3'!E46</f>
        <v>0</v>
      </c>
      <c r="G55" s="652">
        <f>'h3'!F46</f>
        <v>0</v>
      </c>
      <c r="H55" s="58">
        <f t="shared" si="4"/>
        <v>30</v>
      </c>
      <c r="I55" s="58">
        <f t="shared" si="5"/>
        <v>30</v>
      </c>
    </row>
    <row r="56" spans="1:9" ht="15" customHeight="1" x14ac:dyDescent="0.25">
      <c r="A56" s="580" t="s">
        <v>383</v>
      </c>
      <c r="B56" s="70" t="s">
        <v>71</v>
      </c>
      <c r="C56" s="60">
        <f>'h3'!B47</f>
        <v>20</v>
      </c>
      <c r="D56" s="653">
        <f>'h3'!C47</f>
        <v>0</v>
      </c>
      <c r="E56" s="653">
        <f>'h3'!D47</f>
        <v>0</v>
      </c>
      <c r="F56" s="657">
        <f>'h3'!E47</f>
        <v>0</v>
      </c>
      <c r="G56" s="652">
        <f>'h3'!F47</f>
        <v>0</v>
      </c>
      <c r="H56" s="58">
        <f t="shared" si="4"/>
        <v>20</v>
      </c>
      <c r="I56" s="58">
        <f t="shared" si="5"/>
        <v>20</v>
      </c>
    </row>
    <row r="57" spans="1:9" ht="15" customHeight="1" x14ac:dyDescent="0.25">
      <c r="A57" s="580" t="s">
        <v>384</v>
      </c>
      <c r="B57" s="70" t="s">
        <v>43</v>
      </c>
      <c r="C57" s="60">
        <f>'h3'!B48</f>
        <v>18</v>
      </c>
      <c r="D57" s="653">
        <f>'h3'!C48</f>
        <v>0</v>
      </c>
      <c r="E57" s="653">
        <f>'h3'!D48</f>
        <v>0</v>
      </c>
      <c r="F57" s="657">
        <f>'h3'!E48</f>
        <v>0</v>
      </c>
      <c r="G57" s="652">
        <f>'h3'!F48</f>
        <v>0</v>
      </c>
      <c r="H57" s="58">
        <f t="shared" si="4"/>
        <v>18</v>
      </c>
      <c r="I57" s="58">
        <f t="shared" si="5"/>
        <v>18</v>
      </c>
    </row>
    <row r="58" spans="1:9" ht="15" customHeight="1" x14ac:dyDescent="0.25">
      <c r="A58" s="580" t="s">
        <v>385</v>
      </c>
      <c r="B58" s="70" t="s">
        <v>124</v>
      </c>
      <c r="C58" s="60">
        <f>'h3'!B49</f>
        <v>25</v>
      </c>
      <c r="D58" s="653">
        <f>'h3'!C49</f>
        <v>0</v>
      </c>
      <c r="E58" s="653">
        <f>'h3'!D49</f>
        <v>0</v>
      </c>
      <c r="F58" s="657">
        <f>'h3'!E49</f>
        <v>0</v>
      </c>
      <c r="G58" s="652">
        <f>'h3'!F49</f>
        <v>0</v>
      </c>
      <c r="H58" s="58">
        <f t="shared" si="4"/>
        <v>25</v>
      </c>
      <c r="I58" s="58">
        <f t="shared" si="5"/>
        <v>25</v>
      </c>
    </row>
    <row r="59" spans="1:9" ht="15" customHeight="1" x14ac:dyDescent="0.25">
      <c r="A59" s="580" t="s">
        <v>386</v>
      </c>
      <c r="B59" s="70" t="s">
        <v>72</v>
      </c>
      <c r="C59" s="60">
        <f>'h3'!B50</f>
        <v>43</v>
      </c>
      <c r="D59" s="653">
        <f>'h3'!C50</f>
        <v>0</v>
      </c>
      <c r="E59" s="653">
        <f>'h3'!D50</f>
        <v>0</v>
      </c>
      <c r="F59" s="657">
        <f>'h3'!E50</f>
        <v>0</v>
      </c>
      <c r="G59" s="652">
        <f>'h3'!F50</f>
        <v>0</v>
      </c>
      <c r="H59" s="58">
        <f t="shared" si="4"/>
        <v>43</v>
      </c>
      <c r="I59" s="58">
        <f t="shared" si="5"/>
        <v>43</v>
      </c>
    </row>
    <row r="60" spans="1:9" ht="15" customHeight="1" x14ac:dyDescent="0.25">
      <c r="A60" s="580" t="s">
        <v>387</v>
      </c>
      <c r="B60" s="70" t="s">
        <v>50</v>
      </c>
      <c r="C60" s="60">
        <f>'h3'!B51</f>
        <v>17</v>
      </c>
      <c r="D60" s="653">
        <f>'h3'!C51</f>
        <v>0</v>
      </c>
      <c r="E60" s="653">
        <f>'h3'!D51</f>
        <v>0</v>
      </c>
      <c r="F60" s="657">
        <f>'h3'!E51</f>
        <v>0</v>
      </c>
      <c r="G60" s="652">
        <f>'h3'!F51</f>
        <v>0</v>
      </c>
      <c r="H60" s="58">
        <f t="shared" si="4"/>
        <v>17</v>
      </c>
      <c r="I60" s="58">
        <f t="shared" si="5"/>
        <v>17</v>
      </c>
    </row>
    <row r="61" spans="1:9" ht="15" customHeight="1" x14ac:dyDescent="0.25">
      <c r="A61" s="580" t="s">
        <v>388</v>
      </c>
      <c r="B61" s="70" t="s">
        <v>57</v>
      </c>
      <c r="C61" s="60">
        <f>'h3'!B52</f>
        <v>16</v>
      </c>
      <c r="D61" s="653">
        <f>'h3'!C52</f>
        <v>0</v>
      </c>
      <c r="E61" s="653">
        <f>'h3'!D52</f>
        <v>0</v>
      </c>
      <c r="F61" s="657">
        <f>'h3'!E52</f>
        <v>0</v>
      </c>
      <c r="G61" s="652">
        <f>'h3'!F52</f>
        <v>0</v>
      </c>
      <c r="H61" s="58">
        <f t="shared" si="4"/>
        <v>16</v>
      </c>
      <c r="I61" s="58">
        <f t="shared" si="5"/>
        <v>16</v>
      </c>
    </row>
    <row r="62" spans="1:9" ht="15" customHeight="1" x14ac:dyDescent="0.25">
      <c r="A62" s="580" t="s">
        <v>389</v>
      </c>
      <c r="B62" s="70" t="s">
        <v>73</v>
      </c>
      <c r="C62" s="60">
        <f>'h3'!B53</f>
        <v>18</v>
      </c>
      <c r="D62" s="653">
        <f>'h3'!C53</f>
        <v>0</v>
      </c>
      <c r="E62" s="653">
        <f>'h3'!D53</f>
        <v>0</v>
      </c>
      <c r="F62" s="657">
        <f>'h3'!E53</f>
        <v>0</v>
      </c>
      <c r="G62" s="652">
        <f>'h3'!F53</f>
        <v>0</v>
      </c>
      <c r="H62" s="58">
        <f t="shared" si="4"/>
        <v>18</v>
      </c>
      <c r="I62" s="58">
        <f t="shared" si="5"/>
        <v>18</v>
      </c>
    </row>
    <row r="63" spans="1:9" ht="15" customHeight="1" x14ac:dyDescent="0.25">
      <c r="A63" s="580" t="s">
        <v>390</v>
      </c>
      <c r="B63" s="70" t="s">
        <v>74</v>
      </c>
      <c r="C63" s="60">
        <f>'h3'!B54</f>
        <v>16</v>
      </c>
      <c r="D63" s="653">
        <f>'h3'!C54</f>
        <v>0</v>
      </c>
      <c r="E63" s="653">
        <f>'h3'!D54</f>
        <v>0</v>
      </c>
      <c r="F63" s="657">
        <f>'h3'!E54</f>
        <v>0</v>
      </c>
      <c r="G63" s="652">
        <f>'h3'!F54</f>
        <v>0</v>
      </c>
      <c r="H63" s="58">
        <f t="shared" si="4"/>
        <v>16</v>
      </c>
      <c r="I63" s="58">
        <f t="shared" si="5"/>
        <v>16</v>
      </c>
    </row>
    <row r="64" spans="1:9" ht="30" customHeight="1" thickBot="1" x14ac:dyDescent="0.3">
      <c r="A64" s="71"/>
      <c r="B64" s="71" t="s">
        <v>75</v>
      </c>
      <c r="C64" s="72">
        <f t="shared" ref="C64:I64" si="6">SUM(C47:C63)</f>
        <v>386</v>
      </c>
      <c r="D64" s="651">
        <f t="shared" si="6"/>
        <v>0</v>
      </c>
      <c r="E64" s="651">
        <f t="shared" si="6"/>
        <v>0</v>
      </c>
      <c r="F64" s="651">
        <f t="shared" si="6"/>
        <v>0</v>
      </c>
      <c r="G64" s="651">
        <f t="shared" si="6"/>
        <v>0</v>
      </c>
      <c r="H64" s="72">
        <f t="shared" si="6"/>
        <v>386</v>
      </c>
      <c r="I64" s="72">
        <f t="shared" si="6"/>
        <v>386</v>
      </c>
    </row>
    <row r="65" spans="1:9" ht="12.75" customHeight="1" x14ac:dyDescent="0.25">
      <c r="A65" s="65"/>
      <c r="B65" s="65"/>
      <c r="C65" s="57"/>
      <c r="D65" s="57"/>
      <c r="E65" s="57"/>
      <c r="F65" s="57"/>
      <c r="G65" s="57"/>
      <c r="H65" s="58"/>
      <c r="I65" s="58"/>
    </row>
    <row r="66" spans="1:9" ht="30" customHeight="1" x14ac:dyDescent="0.25">
      <c r="A66" s="73" t="s">
        <v>373</v>
      </c>
      <c r="B66" s="97" t="s">
        <v>15</v>
      </c>
      <c r="C66" s="98" t="s">
        <v>27</v>
      </c>
      <c r="D66" s="98" t="s">
        <v>28</v>
      </c>
      <c r="E66" s="98" t="s">
        <v>2</v>
      </c>
      <c r="F66" s="98" t="s">
        <v>3</v>
      </c>
      <c r="G66" s="98" t="s">
        <v>29</v>
      </c>
      <c r="H66" s="3" t="s">
        <v>10</v>
      </c>
      <c r="I66" s="3" t="s">
        <v>105</v>
      </c>
    </row>
    <row r="67" spans="1:9" ht="22.5" customHeight="1" x14ac:dyDescent="0.25">
      <c r="A67" s="797" t="s">
        <v>411</v>
      </c>
      <c r="B67" s="59" t="s">
        <v>177</v>
      </c>
      <c r="C67" s="60">
        <f>'h3'!B56</f>
        <v>146</v>
      </c>
      <c r="D67" s="653">
        <f>'h3'!C56</f>
        <v>0</v>
      </c>
      <c r="E67" s="653">
        <f>'h3'!D56</f>
        <v>0</v>
      </c>
      <c r="F67" s="26">
        <f>'h3'!E56</f>
        <v>489</v>
      </c>
      <c r="G67" s="652">
        <f>'h3'!F56</f>
        <v>0</v>
      </c>
      <c r="H67" s="58">
        <f>SUM(C67:G67)</f>
        <v>635</v>
      </c>
      <c r="I67" s="58">
        <f>H67-G67</f>
        <v>635</v>
      </c>
    </row>
    <row r="68" spans="1:9" ht="15" customHeight="1" x14ac:dyDescent="0.25">
      <c r="A68" s="110" t="s">
        <v>413</v>
      </c>
      <c r="B68" s="59" t="s">
        <v>175</v>
      </c>
      <c r="C68" s="60">
        <f>'h3'!B57</f>
        <v>37</v>
      </c>
      <c r="D68" s="653">
        <f>'h3'!C57</f>
        <v>0</v>
      </c>
      <c r="E68" s="653">
        <f>'h3'!D57</f>
        <v>0</v>
      </c>
      <c r="F68" s="26">
        <f>'h3'!E57</f>
        <v>102</v>
      </c>
      <c r="G68" s="652">
        <f>'h3'!F57</f>
        <v>0</v>
      </c>
      <c r="H68" s="58">
        <f t="shared" ref="H68:H69" si="7">SUM(C68:G68)</f>
        <v>139</v>
      </c>
      <c r="I68" s="58">
        <f>H68-G68</f>
        <v>139</v>
      </c>
    </row>
    <row r="69" spans="1:9" ht="15" customHeight="1" x14ac:dyDescent="0.25">
      <c r="A69" s="110" t="s">
        <v>412</v>
      </c>
      <c r="B69" s="59" t="s">
        <v>176</v>
      </c>
      <c r="C69" s="60">
        <f>'h3'!B58</f>
        <v>30</v>
      </c>
      <c r="D69" s="653">
        <f>'h3'!C58</f>
        <v>0</v>
      </c>
      <c r="E69" s="653">
        <f>'h3'!D58</f>
        <v>0</v>
      </c>
      <c r="F69" s="26">
        <f>'h3'!E58</f>
        <v>141</v>
      </c>
      <c r="G69" s="652">
        <f>'h3'!F58</f>
        <v>0</v>
      </c>
      <c r="H69" s="58">
        <f t="shared" si="7"/>
        <v>171</v>
      </c>
      <c r="I69" s="58">
        <f>H69-G69</f>
        <v>171</v>
      </c>
    </row>
    <row r="70" spans="1:9" ht="30" customHeight="1" thickBot="1" x14ac:dyDescent="0.3">
      <c r="A70" s="76"/>
      <c r="B70" s="76" t="s">
        <v>80</v>
      </c>
      <c r="C70" s="72">
        <f>SUM(C67:C69)</f>
        <v>213</v>
      </c>
      <c r="D70" s="651">
        <f t="shared" ref="D70:I70" si="8">SUM(D67:D69)</f>
        <v>0</v>
      </c>
      <c r="E70" s="651">
        <f t="shared" si="8"/>
        <v>0</v>
      </c>
      <c r="F70" s="72">
        <f t="shared" si="8"/>
        <v>732</v>
      </c>
      <c r="G70" s="651">
        <f t="shared" si="8"/>
        <v>0</v>
      </c>
      <c r="H70" s="72">
        <f t="shared" si="8"/>
        <v>945</v>
      </c>
      <c r="I70" s="72">
        <f t="shared" si="8"/>
        <v>945</v>
      </c>
    </row>
    <row r="71" spans="1:9" x14ac:dyDescent="0.25">
      <c r="A71" s="65"/>
      <c r="B71" s="65"/>
      <c r="C71" s="57"/>
      <c r="D71" s="57"/>
      <c r="E71" s="57"/>
      <c r="F71" s="57"/>
      <c r="G71" s="57"/>
      <c r="H71" s="77"/>
      <c r="I71" s="77"/>
    </row>
    <row r="72" spans="1:9" ht="12" customHeight="1" x14ac:dyDescent="0.25">
      <c r="A72" s="73" t="s">
        <v>532</v>
      </c>
      <c r="B72" s="97"/>
      <c r="C72" s="57"/>
      <c r="D72" s="57"/>
      <c r="E72" s="57"/>
      <c r="F72" s="57"/>
      <c r="G72" s="57"/>
      <c r="H72" s="77"/>
      <c r="I72" s="77"/>
    </row>
    <row r="73" spans="1:9" ht="18.75" customHeight="1" thickBot="1" x14ac:dyDescent="0.3">
      <c r="A73" s="76" t="s">
        <v>391</v>
      </c>
      <c r="B73" s="78" t="s">
        <v>81</v>
      </c>
      <c r="C73" s="72">
        <f>'h3'!B60</f>
        <v>149</v>
      </c>
      <c r="D73" s="651">
        <f>'h3'!C60</f>
        <v>0</v>
      </c>
      <c r="E73" s="72">
        <f>'h3'!D60</f>
        <v>207</v>
      </c>
      <c r="F73" s="72">
        <f>'h3'!E60</f>
        <v>303</v>
      </c>
      <c r="G73" s="651">
        <f>'h3'!F60</f>
        <v>0</v>
      </c>
      <c r="H73" s="72">
        <f>SUM(C73:G73)</f>
        <v>659</v>
      </c>
      <c r="I73" s="72">
        <f>H73-G73</f>
        <v>659</v>
      </c>
    </row>
    <row r="74" spans="1:9" ht="13.5" customHeight="1" x14ac:dyDescent="0.25">
      <c r="A74" s="13"/>
      <c r="B74" s="13"/>
      <c r="C74" s="77"/>
      <c r="D74" s="77"/>
      <c r="E74" s="77"/>
      <c r="F74" s="77"/>
      <c r="G74" s="77"/>
      <c r="H74" s="58"/>
      <c r="I74" s="58"/>
    </row>
    <row r="75" spans="1:9" ht="13.5" customHeight="1" x14ac:dyDescent="0.25">
      <c r="A75" s="515"/>
      <c r="B75" s="515"/>
      <c r="C75" s="77"/>
      <c r="D75" s="77"/>
      <c r="E75" s="77"/>
      <c r="F75" s="77"/>
      <c r="G75" s="77"/>
      <c r="H75" s="58"/>
      <c r="I75" s="58"/>
    </row>
    <row r="76" spans="1:9" x14ac:dyDescent="0.25">
      <c r="A76" s="512" t="s">
        <v>8</v>
      </c>
      <c r="C76" s="45"/>
      <c r="D76" s="45"/>
      <c r="E76" s="45"/>
      <c r="F76" s="45"/>
      <c r="G76" s="45"/>
      <c r="H76" s="45"/>
      <c r="I76" s="45"/>
    </row>
    <row r="77" spans="1:9" ht="15.75" x14ac:dyDescent="0.25">
      <c r="A77" s="509" t="s">
        <v>235</v>
      </c>
      <c r="D77" s="96"/>
      <c r="E77" s="330"/>
      <c r="F77" s="330"/>
      <c r="G77" s="330"/>
      <c r="H77" s="330"/>
      <c r="I77" s="330"/>
    </row>
    <row r="78" spans="1:9" ht="18" x14ac:dyDescent="0.25">
      <c r="A78" s="517"/>
      <c r="B78" s="517"/>
      <c r="C78" s="367"/>
      <c r="D78" s="368"/>
      <c r="E78" s="16"/>
      <c r="F78" s="16"/>
      <c r="G78" s="16"/>
      <c r="H78" s="16"/>
      <c r="I78" s="16"/>
    </row>
  </sheetData>
  <sheetProtection algorithmName="SHA-512" hashValue="3hBqMuKLSqUsGvmQlQnzBt1hiunvsSIWbjyrLGbdPm8zLNNa2gb8pdfwIRunh+aqNV43e8k+vfwW7IOzhxJh4g==" saltValue="ooGc8SaPfmrg/SmFd2aVKw==" spinCount="100000" sheet="1" scenarios="1" pivotTables="0"/>
  <mergeCells count="2">
    <mergeCell ref="A4:I4"/>
    <mergeCell ref="A1:H1"/>
  </mergeCells>
  <hyperlinks>
    <hyperlink ref="A2" location="'Table of Contents'!A1" display="Back to Table of Contents"/>
  </hyperlinks>
  <pageMargins left="0.70866141732283472" right="0.70866141732283472" top="0.74803149606299213" bottom="0.74803149606299213" header="0.31496062992125984" footer="0.31496062992125984"/>
  <pageSetup scale="56" orientation="portrait" r:id="rId1"/>
  <drawing r:id="rId2"/>
  <tableParts count="3">
    <tablePart r:id="rId3"/>
    <tablePart r:id="rId4"/>
    <tablePart r:id="rId5"/>
  </tableParts>
  <extLst>
    <ext xmlns:x14="http://schemas.microsoft.com/office/spreadsheetml/2009/9/main" uri="{A8765BA9-456A-4dab-B4F3-ACF838C121DE}">
      <x14:slicerList>
        <x14:slicer r:id="rId6"/>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39997558519241921"/>
  </sheetPr>
  <dimension ref="A1:K21"/>
  <sheetViews>
    <sheetView showGridLines="0" workbookViewId="0">
      <pane ySplit="2" topLeftCell="A3" activePane="bottomLeft" state="frozen"/>
      <selection sqref="A1:C1"/>
      <selection pane="bottomLeft" sqref="A1:H1"/>
    </sheetView>
  </sheetViews>
  <sheetFormatPr defaultRowHeight="15" x14ac:dyDescent="0.25"/>
  <cols>
    <col min="1" max="1" width="31.7109375" bestFit="1" customWidth="1"/>
    <col min="2" max="9" width="12" customWidth="1"/>
  </cols>
  <sheetData>
    <row r="1" spans="1:11" ht="15.75" x14ac:dyDescent="0.25">
      <c r="A1" s="993" t="s">
        <v>523</v>
      </c>
      <c r="B1" s="993"/>
      <c r="C1" s="993"/>
      <c r="D1" s="993"/>
      <c r="E1" s="993"/>
      <c r="F1" s="993"/>
      <c r="G1" s="993"/>
      <c r="H1" s="993"/>
    </row>
    <row r="2" spans="1:11" ht="18" x14ac:dyDescent="0.25">
      <c r="A2" s="790" t="s">
        <v>598</v>
      </c>
      <c r="B2" s="1"/>
      <c r="C2" s="1"/>
      <c r="D2" s="1"/>
      <c r="E2" s="1"/>
      <c r="F2" s="1"/>
      <c r="G2" s="1"/>
      <c r="H2" s="1"/>
    </row>
    <row r="3" spans="1:11" ht="18" x14ac:dyDescent="0.25">
      <c r="A3" s="1"/>
      <c r="B3" s="1"/>
      <c r="C3" s="1"/>
      <c r="D3" s="1"/>
      <c r="E3" s="1"/>
      <c r="F3" s="1"/>
      <c r="G3" s="1"/>
      <c r="H3" s="1"/>
    </row>
    <row r="4" spans="1:11" ht="30" customHeight="1" x14ac:dyDescent="0.25">
      <c r="A4" s="1004" t="s">
        <v>527</v>
      </c>
      <c r="B4" s="1004"/>
      <c r="C4" s="1004"/>
      <c r="D4" s="1004"/>
      <c r="E4" s="1004"/>
      <c r="F4" s="1004"/>
      <c r="G4" s="1004"/>
      <c r="H4" s="1004"/>
      <c r="I4" s="1004"/>
      <c r="J4" s="1004"/>
      <c r="K4" s="1004"/>
    </row>
    <row r="5" spans="1:11" ht="15" customHeight="1" x14ac:dyDescent="0.25">
      <c r="A5" t="s">
        <v>368</v>
      </c>
      <c r="B5" t="s">
        <v>755</v>
      </c>
      <c r="C5" s="632"/>
      <c r="D5" s="632"/>
      <c r="E5" s="632"/>
      <c r="F5" s="632"/>
      <c r="G5" s="632"/>
      <c r="H5" s="632"/>
      <c r="I5" s="632"/>
      <c r="J5" s="632"/>
      <c r="K5" s="632"/>
    </row>
    <row r="6" spans="1:11" ht="15" customHeight="1" x14ac:dyDescent="0.25">
      <c r="A6" t="s">
        <v>369</v>
      </c>
      <c r="B6" t="s">
        <v>371</v>
      </c>
      <c r="C6" s="632"/>
      <c r="D6" s="632"/>
      <c r="E6" s="632"/>
      <c r="F6" s="632"/>
      <c r="G6" s="632"/>
      <c r="H6" s="632"/>
      <c r="I6" s="632"/>
      <c r="J6" s="632"/>
      <c r="K6" s="632"/>
    </row>
    <row r="7" spans="1:11" ht="15" customHeight="1" x14ac:dyDescent="0.25">
      <c r="A7" t="s">
        <v>370</v>
      </c>
      <c r="B7" t="s">
        <v>372</v>
      </c>
      <c r="C7" s="632"/>
      <c r="D7" s="632"/>
      <c r="E7" s="632"/>
      <c r="F7" s="632"/>
      <c r="G7" s="632"/>
      <c r="H7" s="632"/>
      <c r="I7" s="632"/>
      <c r="J7" s="632"/>
      <c r="K7" s="632"/>
    </row>
    <row r="8" spans="1:11" ht="15" customHeight="1" x14ac:dyDescent="0.25">
      <c r="C8" s="632"/>
      <c r="D8" s="632"/>
      <c r="E8" s="632"/>
      <c r="F8" s="632"/>
      <c r="G8" s="632"/>
      <c r="H8" s="632"/>
      <c r="I8" s="632"/>
      <c r="J8" s="632"/>
      <c r="K8" s="632"/>
    </row>
    <row r="9" spans="1:11" ht="26.25" x14ac:dyDescent="0.25">
      <c r="A9" s="24"/>
      <c r="B9" s="3" t="s">
        <v>212</v>
      </c>
      <c r="C9" s="3" t="s">
        <v>18</v>
      </c>
      <c r="D9" s="3" t="s">
        <v>19</v>
      </c>
      <c r="E9" s="3" t="s">
        <v>20</v>
      </c>
      <c r="F9" s="3" t="s">
        <v>21</v>
      </c>
      <c r="G9" s="3" t="s">
        <v>22</v>
      </c>
      <c r="H9" s="3" t="s">
        <v>23</v>
      </c>
      <c r="I9" s="315" t="s">
        <v>10</v>
      </c>
      <c r="K9" s="16"/>
    </row>
    <row r="10" spans="1:11" ht="16.5" customHeight="1" x14ac:dyDescent="0.25">
      <c r="A10" s="13" t="s">
        <v>180</v>
      </c>
      <c r="B10" s="394">
        <f>GETPIVOTDATA("Sum of Brigade Manager",'h2'!$A$32,"Type","WT")</f>
        <v>4</v>
      </c>
      <c r="C10" s="394">
        <f>GETPIVOTDATA("Sum of Area Manager",'h2'!$A$32,"Type","WT")</f>
        <v>33</v>
      </c>
      <c r="D10" s="394">
        <f>GETPIVOTDATA("Sum of Group Manager",'h2'!$A$32,"Type","WT")</f>
        <v>80</v>
      </c>
      <c r="E10" s="394">
        <f>GETPIVOTDATA("Sum of Station Manager",'h2'!$A$32,"Type","WT")</f>
        <v>147</v>
      </c>
      <c r="F10" s="394">
        <f>GETPIVOTDATA("Sum of Watch Manager",'h2'!$A$32,"Type","WT")</f>
        <v>611</v>
      </c>
      <c r="G10" s="394">
        <f>GETPIVOTDATA("Sum of Crew Manager",'h2'!$A$32,"Type","WT")</f>
        <v>687</v>
      </c>
      <c r="H10" s="394">
        <f>GETPIVOTDATA("Sum of Firefighter",'h2'!$A$32,"Type","WT")</f>
        <v>2075</v>
      </c>
      <c r="I10" s="395">
        <f>GETPIVOTDATA("Sum of Total",'h2'!$A$32,"Type","WT")</f>
        <v>3637</v>
      </c>
      <c r="J10" s="16"/>
      <c r="K10" s="16"/>
    </row>
    <row r="11" spans="1:11" ht="16.5" customHeight="1" x14ac:dyDescent="0.25">
      <c r="A11" s="2" t="s">
        <v>181</v>
      </c>
      <c r="B11" s="409">
        <f>B10/$I$10</f>
        <v>1.0998075336816058E-3</v>
      </c>
      <c r="C11" s="409">
        <f t="shared" ref="C11:G11" si="0">C10/$I$10</f>
        <v>9.0734121528732465E-3</v>
      </c>
      <c r="D11" s="409">
        <f t="shared" si="0"/>
        <v>2.1996150673632114E-2</v>
      </c>
      <c r="E11" s="409">
        <f t="shared" si="0"/>
        <v>4.0417926862799013E-2</v>
      </c>
      <c r="F11" s="409">
        <f t="shared" si="0"/>
        <v>0.16799560076986528</v>
      </c>
      <c r="G11" s="409">
        <f t="shared" si="0"/>
        <v>0.18889194390981578</v>
      </c>
      <c r="H11" s="409">
        <f>H10/$I$10</f>
        <v>0.57052515809733295</v>
      </c>
      <c r="I11" s="410">
        <f>SUM(B10:H10)/'Role - Area'!$I$14</f>
        <v>1</v>
      </c>
      <c r="J11" s="16"/>
      <c r="K11" s="16"/>
    </row>
    <row r="12" spans="1:11" ht="16.5" customHeight="1" x14ac:dyDescent="0.25">
      <c r="A12" s="13" t="s">
        <v>182</v>
      </c>
      <c r="B12" s="33">
        <f>GETPIVOTDATA("Sum of Brigade Manager",'h2'!$A$32,"Type","RDS")</f>
        <v>0</v>
      </c>
      <c r="C12" s="33">
        <f>GETPIVOTDATA("Sum of Area Manager",'h2'!$A$32,"Type","RDS")</f>
        <v>0</v>
      </c>
      <c r="D12" s="33">
        <f>GETPIVOTDATA("Sum of Group Manager",'h2'!$A$32,"Type","RDS")</f>
        <v>0</v>
      </c>
      <c r="E12" s="33">
        <f>GETPIVOTDATA("Sum of Station Manager",'h2'!$A$32,"Type","RDS")</f>
        <v>0</v>
      </c>
      <c r="F12" s="33">
        <f>GETPIVOTDATA("Sum of Watch Manager",'h2'!$A$32,"Type","RDS")</f>
        <v>279</v>
      </c>
      <c r="G12" s="33">
        <f>GETPIVOTDATA("Sum of Crew Manager",'h2'!$A$32,"Type","RDS")</f>
        <v>533</v>
      </c>
      <c r="H12" s="33">
        <f>GETPIVOTDATA("Sum of Firefighter",'h2'!$A$32,"Type","RDS")</f>
        <v>2141</v>
      </c>
      <c r="I12" s="395">
        <f>GETPIVOTDATA("Sum of Total",'h2'!$A$32,"Type","RDS")</f>
        <v>2953</v>
      </c>
      <c r="J12" s="16"/>
      <c r="K12" s="16"/>
    </row>
    <row r="13" spans="1:11" ht="16.5" customHeight="1" x14ac:dyDescent="0.25">
      <c r="A13" s="2" t="s">
        <v>183</v>
      </c>
      <c r="B13" s="411">
        <f>IF(ISBLANK(B12), "-", B12/$I$12)</f>
        <v>0</v>
      </c>
      <c r="C13" s="411">
        <f t="shared" ref="C13:G13" si="1">IF(ISBLANK(C12), "-", C12/$I$12)</f>
        <v>0</v>
      </c>
      <c r="D13" s="411">
        <f t="shared" si="1"/>
        <v>0</v>
      </c>
      <c r="E13" s="411">
        <f t="shared" si="1"/>
        <v>0</v>
      </c>
      <c r="F13" s="411">
        <f t="shared" si="1"/>
        <v>9.4480189637656614E-2</v>
      </c>
      <c r="G13" s="411">
        <f t="shared" si="1"/>
        <v>0.18049441246190315</v>
      </c>
      <c r="H13" s="411">
        <f>IF(ISBLANK(H12), "-", H12/$I$12)</f>
        <v>0.72502539790044018</v>
      </c>
      <c r="I13" s="410">
        <f>SUM(B12:H12)/$I$12</f>
        <v>1</v>
      </c>
      <c r="J13" s="16"/>
      <c r="K13" s="16"/>
    </row>
    <row r="14" spans="1:11" ht="16.5" customHeight="1" x14ac:dyDescent="0.25">
      <c r="A14" s="13" t="s">
        <v>184</v>
      </c>
      <c r="B14" s="33">
        <f>GETPIVOTDATA("Sum of Brigade Manager",'h2'!$A$32,"Type","Control")</f>
        <v>0</v>
      </c>
      <c r="C14" s="33">
        <f>GETPIVOTDATA("Sum of Area Manager",'h2'!$A$32,"Type","Control")</f>
        <v>1</v>
      </c>
      <c r="D14" s="33">
        <f>GETPIVOTDATA("Sum of Group Manager",'h2'!$A$32,"Type","Control")</f>
        <v>4</v>
      </c>
      <c r="E14" s="33">
        <f>GETPIVOTDATA("Sum of Station Manager",'h2'!$A$32,"Type","Control")</f>
        <v>9</v>
      </c>
      <c r="F14" s="33">
        <f>GETPIVOTDATA("Sum of Watch Manager",'h2'!$A$32,"Type","Control")</f>
        <v>42</v>
      </c>
      <c r="G14" s="33">
        <f>GETPIVOTDATA("Sum of Crew Manager",'h2'!$A$32,"Type","Control")</f>
        <v>27</v>
      </c>
      <c r="H14" s="33">
        <f>GETPIVOTDATA("Sum of Firefighter",'h2'!$A$32,"Type","Control")</f>
        <v>124</v>
      </c>
      <c r="I14" s="395">
        <f>GETPIVOTDATA("Sum of Total",'h2'!$A$32,"Type","Control")</f>
        <v>207</v>
      </c>
      <c r="J14" s="16"/>
      <c r="K14" s="16"/>
    </row>
    <row r="15" spans="1:11" ht="16.5" customHeight="1" x14ac:dyDescent="0.25">
      <c r="A15" s="2" t="s">
        <v>185</v>
      </c>
      <c r="B15" s="411">
        <f>IF(ISBLANK(B14), "-", B14/$I$14)</f>
        <v>0</v>
      </c>
      <c r="C15" s="411">
        <f t="shared" ref="C15:I15" si="2">IF(ISBLANK(C14), "-", C14/$I$14)</f>
        <v>4.830917874396135E-3</v>
      </c>
      <c r="D15" s="411">
        <f t="shared" si="2"/>
        <v>1.932367149758454E-2</v>
      </c>
      <c r="E15" s="411">
        <f t="shared" si="2"/>
        <v>4.3478260869565216E-2</v>
      </c>
      <c r="F15" s="411">
        <f t="shared" si="2"/>
        <v>0.20289855072463769</v>
      </c>
      <c r="G15" s="411">
        <f t="shared" si="2"/>
        <v>0.13043478260869565</v>
      </c>
      <c r="H15" s="411">
        <f t="shared" si="2"/>
        <v>0.59903381642512077</v>
      </c>
      <c r="I15" s="410">
        <f t="shared" si="2"/>
        <v>1</v>
      </c>
      <c r="J15" s="16"/>
      <c r="K15" s="16"/>
    </row>
    <row r="16" spans="1:11" ht="16.5" customHeight="1" x14ac:dyDescent="0.25">
      <c r="A16" s="13" t="s">
        <v>528</v>
      </c>
      <c r="B16" s="33">
        <f>GETPIVOTDATA("Sum of Brigade Manager",'h2'!$A$32,"Type","Vol")</f>
        <v>0</v>
      </c>
      <c r="C16" s="33">
        <f>GETPIVOTDATA("Sum of Area Manager",'h2'!$A$32,"Type","Vol")</f>
        <v>0</v>
      </c>
      <c r="D16" s="33">
        <f>GETPIVOTDATA("Sum of Group Manager",'h2'!$A$32,"Type","Vol")</f>
        <v>0</v>
      </c>
      <c r="E16" s="33">
        <f>GETPIVOTDATA("Sum of Station Manager",'h2'!$A$32,"Type","Vol")</f>
        <v>0</v>
      </c>
      <c r="F16" s="33">
        <f>GETPIVOTDATA("Sum of Watch Manager",'h2'!$A$32,"Type","Vol")</f>
        <v>37</v>
      </c>
      <c r="G16" s="33">
        <f>GETPIVOTDATA("Sum of Crew Manager",'h2'!$A$32,"Type","Vol")</f>
        <v>40</v>
      </c>
      <c r="H16" s="33">
        <f>GETPIVOTDATA("Sum of Firefighter",'h2'!$A$32,"Type","Vol")</f>
        <v>240</v>
      </c>
      <c r="I16" s="109">
        <f>GETPIVOTDATA("Sum of Total",'h2'!$A$32,"Type","Vol")</f>
        <v>317</v>
      </c>
      <c r="J16" s="16"/>
      <c r="K16" s="16"/>
    </row>
    <row r="17" spans="1:11" ht="16.5" customHeight="1" thickBot="1" x14ac:dyDescent="0.3">
      <c r="A17" s="44" t="s">
        <v>529</v>
      </c>
      <c r="B17" s="412">
        <f>IF(ISBLANK(B16), "-", B16/$I$16)</f>
        <v>0</v>
      </c>
      <c r="C17" s="412">
        <f t="shared" ref="C17:H17" si="3">IF(ISBLANK(C16), "-", C16/$I$16)</f>
        <v>0</v>
      </c>
      <c r="D17" s="412">
        <f t="shared" si="3"/>
        <v>0</v>
      </c>
      <c r="E17" s="412">
        <f t="shared" si="3"/>
        <v>0</v>
      </c>
      <c r="F17" s="412">
        <f t="shared" si="3"/>
        <v>0.1167192429022082</v>
      </c>
      <c r="G17" s="412">
        <f t="shared" si="3"/>
        <v>0.12618296529968454</v>
      </c>
      <c r="H17" s="412">
        <f t="shared" si="3"/>
        <v>0.75709779179810721</v>
      </c>
      <c r="I17" s="975">
        <f>SUM(B16:H16)/$I$16</f>
        <v>1</v>
      </c>
      <c r="J17" s="16"/>
      <c r="K17" s="16"/>
    </row>
    <row r="18" spans="1:11" x14ac:dyDescent="0.25">
      <c r="A18" s="28"/>
      <c r="B18" s="545"/>
      <c r="C18" s="28"/>
      <c r="D18" s="28"/>
      <c r="E18" s="28"/>
      <c r="F18" s="28"/>
      <c r="G18" s="28"/>
      <c r="H18" s="28"/>
      <c r="I18" s="28"/>
      <c r="J18" s="16"/>
      <c r="K18" s="16"/>
    </row>
    <row r="19" spans="1:11" x14ac:dyDescent="0.25">
      <c r="A19" s="518" t="s">
        <v>8</v>
      </c>
      <c r="B19" s="498"/>
      <c r="C19" s="498"/>
      <c r="D19" s="498"/>
      <c r="E19" s="498"/>
      <c r="F19" s="498"/>
      <c r="G19" s="498"/>
      <c r="H19" s="498"/>
      <c r="I19" s="498"/>
      <c r="J19" s="498"/>
      <c r="K19" s="498"/>
    </row>
    <row r="20" spans="1:11" ht="30" customHeight="1" x14ac:dyDescent="0.25">
      <c r="A20" s="1005" t="s">
        <v>835</v>
      </c>
      <c r="B20" s="1005"/>
      <c r="C20" s="1005"/>
      <c r="D20" s="1005"/>
      <c r="E20" s="1005"/>
      <c r="F20" s="1005"/>
      <c r="G20" s="1005"/>
      <c r="H20" s="1005"/>
      <c r="I20" s="1005"/>
      <c r="J20" s="497"/>
      <c r="K20" s="497"/>
    </row>
    <row r="21" spans="1:11" ht="30" customHeight="1" x14ac:dyDescent="0.25"/>
  </sheetData>
  <sheetProtection algorithmName="SHA-512" hashValue="xpAy4rpVzOqlZ7uYNUArBpcy5nS3VK3iEbYNTIe+HYPLhOfqqXS5PYir/FuSTmCZ0GPbo6V6XIvWXhJ0ny02sw==" saltValue="1IJTliR1tyEidzauLPCrBg==" spinCount="100000" sheet="1" scenarios="1" pivotTables="0"/>
  <mergeCells count="3">
    <mergeCell ref="A4:K4"/>
    <mergeCell ref="A1:H1"/>
    <mergeCell ref="A20:I20"/>
  </mergeCells>
  <hyperlinks>
    <hyperlink ref="A2" location="'Table of Contents'!A1" display="Back to Table of Contents"/>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89"/>
  <sheetViews>
    <sheetView showGridLines="0" zoomScaleNormal="100" workbookViewId="0">
      <pane ySplit="5" topLeftCell="A6" activePane="bottomLeft" state="frozen"/>
      <selection sqref="A1:C1"/>
      <selection pane="bottomLeft"/>
    </sheetView>
  </sheetViews>
  <sheetFormatPr defaultRowHeight="15" x14ac:dyDescent="0.25"/>
  <cols>
    <col min="1" max="1" width="34.7109375" customWidth="1"/>
    <col min="2" max="2" width="38.85546875" style="685" bestFit="1" customWidth="1"/>
    <col min="3" max="4" width="18.5703125" style="685" bestFit="1" customWidth="1"/>
    <col min="5" max="5" width="19.28515625" bestFit="1" customWidth="1"/>
    <col min="6" max="6" width="8.85546875" customWidth="1"/>
    <col min="7" max="7" width="15.5703125" bestFit="1" customWidth="1"/>
    <col min="8" max="8" width="11.42578125" customWidth="1"/>
  </cols>
  <sheetData>
    <row r="1" spans="1:7" ht="15.75" x14ac:dyDescent="0.25">
      <c r="A1" s="628" t="s">
        <v>582</v>
      </c>
    </row>
    <row r="3" spans="1:7" x14ac:dyDescent="0.25">
      <c r="A3" t="s">
        <v>583</v>
      </c>
    </row>
    <row r="5" spans="1:7" s="438" customFormat="1" x14ac:dyDescent="0.25">
      <c r="A5" s="438" t="s">
        <v>584</v>
      </c>
      <c r="B5" s="960"/>
      <c r="C5" s="960"/>
      <c r="D5" s="960"/>
      <c r="E5" s="438" t="s">
        <v>586</v>
      </c>
      <c r="F5" s="438" t="s">
        <v>733</v>
      </c>
      <c r="G5" s="438" t="s">
        <v>261</v>
      </c>
    </row>
    <row r="6" spans="1:7" x14ac:dyDescent="0.25">
      <c r="A6" s="438" t="s">
        <v>525</v>
      </c>
      <c r="E6" t="s">
        <v>731</v>
      </c>
      <c r="F6" s="790" t="s">
        <v>734</v>
      </c>
      <c r="G6" t="s">
        <v>738</v>
      </c>
    </row>
    <row r="7" spans="1:7" x14ac:dyDescent="0.25">
      <c r="A7" s="438" t="s">
        <v>700</v>
      </c>
      <c r="B7" s="685" t="s">
        <v>701</v>
      </c>
      <c r="E7" t="s">
        <v>597</v>
      </c>
      <c r="F7" s="790" t="s">
        <v>734</v>
      </c>
      <c r="G7" t="s">
        <v>739</v>
      </c>
    </row>
    <row r="8" spans="1:7" x14ac:dyDescent="0.25">
      <c r="B8" s="685" t="s">
        <v>701</v>
      </c>
      <c r="C8" s="685" t="s">
        <v>123</v>
      </c>
      <c r="E8" t="s">
        <v>597</v>
      </c>
      <c r="F8" s="790" t="s">
        <v>734</v>
      </c>
      <c r="G8" t="s">
        <v>740</v>
      </c>
    </row>
    <row r="9" spans="1:7" x14ac:dyDescent="0.25">
      <c r="B9" s="685" t="s">
        <v>702</v>
      </c>
      <c r="E9" t="s">
        <v>597</v>
      </c>
      <c r="F9" s="790" t="s">
        <v>734</v>
      </c>
      <c r="G9" t="s">
        <v>741</v>
      </c>
    </row>
    <row r="10" spans="1:7" x14ac:dyDescent="0.25">
      <c r="B10" s="685" t="s">
        <v>702</v>
      </c>
      <c r="C10" s="685" t="s">
        <v>123</v>
      </c>
      <c r="E10" t="s">
        <v>597</v>
      </c>
      <c r="F10" s="790" t="s">
        <v>734</v>
      </c>
      <c r="G10" t="s">
        <v>742</v>
      </c>
    </row>
    <row r="11" spans="1:7" x14ac:dyDescent="0.25">
      <c r="A11" s="438" t="s">
        <v>703</v>
      </c>
      <c r="B11" s="685" t="s">
        <v>704</v>
      </c>
      <c r="E11" t="s">
        <v>597</v>
      </c>
      <c r="F11" s="790" t="s">
        <v>734</v>
      </c>
      <c r="G11" t="s">
        <v>743</v>
      </c>
    </row>
    <row r="12" spans="1:7" x14ac:dyDescent="0.25">
      <c r="B12" s="685" t="s">
        <v>704</v>
      </c>
      <c r="C12" s="685" t="s">
        <v>123</v>
      </c>
      <c r="E12" t="s">
        <v>597</v>
      </c>
      <c r="F12" s="790" t="s">
        <v>734</v>
      </c>
      <c r="G12" t="s">
        <v>748</v>
      </c>
    </row>
    <row r="13" spans="1:7" x14ac:dyDescent="0.25">
      <c r="B13" s="685" t="s">
        <v>702</v>
      </c>
      <c r="E13" t="s">
        <v>705</v>
      </c>
      <c r="F13" s="790" t="s">
        <v>734</v>
      </c>
      <c r="G13" t="s">
        <v>744</v>
      </c>
    </row>
    <row r="14" spans="1:7" x14ac:dyDescent="0.25">
      <c r="A14" s="438" t="s">
        <v>706</v>
      </c>
      <c r="B14" s="685" t="s">
        <v>707</v>
      </c>
      <c r="E14" t="s">
        <v>597</v>
      </c>
      <c r="F14" s="790" t="s">
        <v>734</v>
      </c>
      <c r="G14" t="s">
        <v>746</v>
      </c>
    </row>
    <row r="15" spans="1:7" x14ac:dyDescent="0.25">
      <c r="B15" s="685" t="s">
        <v>707</v>
      </c>
      <c r="C15" s="685" t="s">
        <v>123</v>
      </c>
      <c r="E15" t="s">
        <v>597</v>
      </c>
      <c r="F15" s="790" t="s">
        <v>734</v>
      </c>
      <c r="G15" t="s">
        <v>745</v>
      </c>
    </row>
    <row r="16" spans="1:7" x14ac:dyDescent="0.25">
      <c r="A16" s="438" t="s">
        <v>599</v>
      </c>
      <c r="B16" s="685" t="s">
        <v>542</v>
      </c>
      <c r="E16" t="s">
        <v>91</v>
      </c>
      <c r="F16" s="790" t="s">
        <v>734</v>
      </c>
      <c r="G16" t="s">
        <v>749</v>
      </c>
    </row>
    <row r="17" spans="2:7" x14ac:dyDescent="0.25">
      <c r="B17" s="685" t="s">
        <v>542</v>
      </c>
      <c r="E17" t="s">
        <v>585</v>
      </c>
      <c r="F17" s="790" t="s">
        <v>734</v>
      </c>
      <c r="G17" t="s">
        <v>750</v>
      </c>
    </row>
    <row r="18" spans="2:7" x14ac:dyDescent="0.25">
      <c r="B18" s="685" t="s">
        <v>542</v>
      </c>
      <c r="C18" s="685" t="s">
        <v>509</v>
      </c>
      <c r="E18" t="s">
        <v>91</v>
      </c>
      <c r="F18" s="790" t="s">
        <v>734</v>
      </c>
      <c r="G18" t="s">
        <v>752</v>
      </c>
    </row>
    <row r="19" spans="2:7" x14ac:dyDescent="0.25">
      <c r="B19" s="685" t="s">
        <v>542</v>
      </c>
      <c r="C19" s="685" t="s">
        <v>509</v>
      </c>
      <c r="E19" t="s">
        <v>585</v>
      </c>
      <c r="F19" s="790" t="s">
        <v>734</v>
      </c>
      <c r="G19" t="s">
        <v>751</v>
      </c>
    </row>
    <row r="20" spans="2:7" x14ac:dyDescent="0.25">
      <c r="B20" s="685" t="s">
        <v>542</v>
      </c>
      <c r="C20" s="685" t="s">
        <v>735</v>
      </c>
      <c r="E20" t="s">
        <v>91</v>
      </c>
      <c r="F20" s="790" t="s">
        <v>734</v>
      </c>
      <c r="G20" t="s">
        <v>753</v>
      </c>
    </row>
    <row r="21" spans="2:7" x14ac:dyDescent="0.25">
      <c r="B21" s="685" t="s">
        <v>542</v>
      </c>
      <c r="C21" s="685" t="s">
        <v>589</v>
      </c>
      <c r="E21" t="s">
        <v>91</v>
      </c>
      <c r="F21" s="790" t="s">
        <v>734</v>
      </c>
      <c r="G21" t="s">
        <v>754</v>
      </c>
    </row>
    <row r="22" spans="2:7" x14ac:dyDescent="0.25">
      <c r="B22" s="685" t="s">
        <v>542</v>
      </c>
      <c r="C22" s="685" t="s">
        <v>590</v>
      </c>
      <c r="E22" t="s">
        <v>91</v>
      </c>
      <c r="F22" s="790" t="s">
        <v>734</v>
      </c>
      <c r="G22" t="s">
        <v>755</v>
      </c>
    </row>
    <row r="23" spans="2:7" x14ac:dyDescent="0.25">
      <c r="B23" s="685" t="s">
        <v>601</v>
      </c>
      <c r="C23" s="685" t="s">
        <v>590</v>
      </c>
      <c r="D23" s="685" t="s">
        <v>735</v>
      </c>
      <c r="E23" t="s">
        <v>91</v>
      </c>
      <c r="F23" s="790" t="s">
        <v>734</v>
      </c>
      <c r="G23" t="s">
        <v>756</v>
      </c>
    </row>
    <row r="24" spans="2:7" x14ac:dyDescent="0.25">
      <c r="B24" s="685" t="s">
        <v>601</v>
      </c>
      <c r="C24" s="685" t="s">
        <v>590</v>
      </c>
      <c r="D24" s="685" t="s">
        <v>589</v>
      </c>
      <c r="E24" t="s">
        <v>91</v>
      </c>
      <c r="F24" s="790" t="s">
        <v>734</v>
      </c>
      <c r="G24" t="s">
        <v>757</v>
      </c>
    </row>
    <row r="25" spans="2:7" x14ac:dyDescent="0.25">
      <c r="B25" s="685" t="s">
        <v>602</v>
      </c>
      <c r="C25" s="685" t="s">
        <v>590</v>
      </c>
      <c r="D25" s="685" t="s">
        <v>589</v>
      </c>
      <c r="E25" t="s">
        <v>91</v>
      </c>
      <c r="F25" s="790" t="s">
        <v>734</v>
      </c>
      <c r="G25" t="s">
        <v>758</v>
      </c>
    </row>
    <row r="26" spans="2:7" x14ac:dyDescent="0.25">
      <c r="B26" s="685" t="s">
        <v>603</v>
      </c>
      <c r="C26" s="685" t="s">
        <v>590</v>
      </c>
      <c r="D26" s="685" t="s">
        <v>589</v>
      </c>
      <c r="E26" t="s">
        <v>91</v>
      </c>
      <c r="F26" s="790" t="s">
        <v>734</v>
      </c>
      <c r="G26" t="s">
        <v>776</v>
      </c>
    </row>
    <row r="27" spans="2:7" x14ac:dyDescent="0.25">
      <c r="B27" s="685" t="s">
        <v>604</v>
      </c>
      <c r="C27" s="685" t="s">
        <v>590</v>
      </c>
      <c r="D27" s="685" t="s">
        <v>589</v>
      </c>
      <c r="E27" t="s">
        <v>91</v>
      </c>
      <c r="F27" s="790" t="s">
        <v>734</v>
      </c>
      <c r="G27" t="s">
        <v>777</v>
      </c>
    </row>
    <row r="28" spans="2:7" x14ac:dyDescent="0.25">
      <c r="B28" s="685" t="s">
        <v>605</v>
      </c>
      <c r="C28" s="685" t="s">
        <v>590</v>
      </c>
      <c r="D28" s="685" t="s">
        <v>589</v>
      </c>
      <c r="E28" t="s">
        <v>91</v>
      </c>
      <c r="F28" s="790" t="s">
        <v>734</v>
      </c>
      <c r="G28" t="s">
        <v>778</v>
      </c>
    </row>
    <row r="29" spans="2:7" x14ac:dyDescent="0.25">
      <c r="B29" s="685" t="s">
        <v>601</v>
      </c>
      <c r="C29" s="685" t="s">
        <v>590</v>
      </c>
      <c r="D29" s="685" t="s">
        <v>589</v>
      </c>
      <c r="E29" t="s">
        <v>585</v>
      </c>
      <c r="F29" s="790" t="s">
        <v>734</v>
      </c>
      <c r="G29" t="s">
        <v>779</v>
      </c>
    </row>
    <row r="30" spans="2:7" x14ac:dyDescent="0.25">
      <c r="B30" s="685" t="s">
        <v>602</v>
      </c>
      <c r="C30" s="685" t="s">
        <v>590</v>
      </c>
      <c r="D30" s="685" t="s">
        <v>589</v>
      </c>
      <c r="E30" t="s">
        <v>585</v>
      </c>
      <c r="F30" s="790" t="s">
        <v>734</v>
      </c>
      <c r="G30" t="s">
        <v>780</v>
      </c>
    </row>
    <row r="31" spans="2:7" x14ac:dyDescent="0.25">
      <c r="B31" s="685" t="s">
        <v>603</v>
      </c>
      <c r="C31" s="685" t="s">
        <v>590</v>
      </c>
      <c r="D31" s="685" t="s">
        <v>589</v>
      </c>
      <c r="E31" t="s">
        <v>585</v>
      </c>
      <c r="F31" s="790" t="s">
        <v>734</v>
      </c>
      <c r="G31" t="s">
        <v>781</v>
      </c>
    </row>
    <row r="32" spans="2:7" x14ac:dyDescent="0.25">
      <c r="B32" s="685" t="s">
        <v>604</v>
      </c>
      <c r="C32" s="685" t="s">
        <v>590</v>
      </c>
      <c r="D32" s="685" t="s">
        <v>589</v>
      </c>
      <c r="E32" t="s">
        <v>585</v>
      </c>
      <c r="F32" s="790" t="s">
        <v>734</v>
      </c>
      <c r="G32" t="s">
        <v>782</v>
      </c>
    </row>
    <row r="33" spans="2:7" x14ac:dyDescent="0.25">
      <c r="B33" s="685" t="s">
        <v>542</v>
      </c>
      <c r="C33" s="685" t="s">
        <v>591</v>
      </c>
      <c r="E33" t="s">
        <v>91</v>
      </c>
      <c r="F33" s="790" t="s">
        <v>734</v>
      </c>
      <c r="G33" t="s">
        <v>783</v>
      </c>
    </row>
    <row r="34" spans="2:7" x14ac:dyDescent="0.25">
      <c r="B34" s="685" t="s">
        <v>542</v>
      </c>
      <c r="C34" s="685" t="s">
        <v>591</v>
      </c>
      <c r="E34" t="s">
        <v>91</v>
      </c>
      <c r="F34" s="790" t="s">
        <v>734</v>
      </c>
      <c r="G34" t="s">
        <v>784</v>
      </c>
    </row>
    <row r="35" spans="2:7" x14ac:dyDescent="0.25">
      <c r="B35" s="685" t="s">
        <v>542</v>
      </c>
      <c r="C35" s="685" t="s">
        <v>591</v>
      </c>
      <c r="D35" s="685" t="s">
        <v>590</v>
      </c>
      <c r="E35" t="s">
        <v>91</v>
      </c>
      <c r="F35" s="790" t="s">
        <v>734</v>
      </c>
      <c r="G35" t="s">
        <v>785</v>
      </c>
    </row>
    <row r="36" spans="2:7" x14ac:dyDescent="0.25">
      <c r="B36" s="685" t="s">
        <v>542</v>
      </c>
      <c r="C36" s="685" t="s">
        <v>591</v>
      </c>
      <c r="D36" s="685" t="s">
        <v>590</v>
      </c>
      <c r="E36" t="s">
        <v>585</v>
      </c>
      <c r="F36" s="790" t="s">
        <v>734</v>
      </c>
      <c r="G36" t="s">
        <v>786</v>
      </c>
    </row>
    <row r="37" spans="2:7" x14ac:dyDescent="0.25">
      <c r="B37" s="685" t="s">
        <v>542</v>
      </c>
      <c r="C37" s="685" t="s">
        <v>214</v>
      </c>
      <c r="E37" t="s">
        <v>91</v>
      </c>
      <c r="F37" s="790" t="s">
        <v>734</v>
      </c>
      <c r="G37" t="s">
        <v>787</v>
      </c>
    </row>
    <row r="38" spans="2:7" x14ac:dyDescent="0.25">
      <c r="B38" s="685" t="s">
        <v>542</v>
      </c>
      <c r="C38" s="685" t="s">
        <v>214</v>
      </c>
      <c r="E38" t="s">
        <v>7</v>
      </c>
      <c r="F38" s="790" t="s">
        <v>734</v>
      </c>
      <c r="G38" t="s">
        <v>788</v>
      </c>
    </row>
    <row r="39" spans="2:7" x14ac:dyDescent="0.25">
      <c r="B39" s="685" t="s">
        <v>542</v>
      </c>
      <c r="C39" s="685" t="s">
        <v>592</v>
      </c>
      <c r="E39" t="s">
        <v>91</v>
      </c>
      <c r="F39" s="790" t="s">
        <v>734</v>
      </c>
      <c r="G39" t="s">
        <v>789</v>
      </c>
    </row>
    <row r="40" spans="2:7" x14ac:dyDescent="0.25">
      <c r="B40" s="685" t="s">
        <v>542</v>
      </c>
      <c r="C40" s="685" t="s">
        <v>592</v>
      </c>
      <c r="E40" t="s">
        <v>7</v>
      </c>
      <c r="F40" s="790" t="s">
        <v>734</v>
      </c>
      <c r="G40" t="s">
        <v>790</v>
      </c>
    </row>
    <row r="41" spans="2:7" x14ac:dyDescent="0.25">
      <c r="B41" s="685" t="s">
        <v>542</v>
      </c>
      <c r="C41" s="685" t="s">
        <v>572</v>
      </c>
      <c r="E41" t="s">
        <v>7</v>
      </c>
      <c r="F41" s="790" t="s">
        <v>734</v>
      </c>
      <c r="G41" t="s">
        <v>791</v>
      </c>
    </row>
    <row r="42" spans="2:7" x14ac:dyDescent="0.25">
      <c r="B42" s="685" t="s">
        <v>542</v>
      </c>
      <c r="C42" s="685" t="s">
        <v>595</v>
      </c>
      <c r="E42" t="s">
        <v>7</v>
      </c>
      <c r="F42" s="790" t="s">
        <v>734</v>
      </c>
      <c r="G42" t="s">
        <v>792</v>
      </c>
    </row>
    <row r="43" spans="2:7" x14ac:dyDescent="0.25">
      <c r="B43" s="685" t="s">
        <v>542</v>
      </c>
      <c r="C43" s="685" t="s">
        <v>747</v>
      </c>
      <c r="E43" t="s">
        <v>7</v>
      </c>
      <c r="F43" s="790" t="s">
        <v>734</v>
      </c>
      <c r="G43" t="s">
        <v>793</v>
      </c>
    </row>
    <row r="44" spans="2:7" x14ac:dyDescent="0.25">
      <c r="B44" s="685" t="s">
        <v>596</v>
      </c>
      <c r="C44" s="685" t="s">
        <v>214</v>
      </c>
      <c r="E44" t="s">
        <v>597</v>
      </c>
      <c r="F44" s="790" t="s">
        <v>734</v>
      </c>
      <c r="G44" t="s">
        <v>794</v>
      </c>
    </row>
    <row r="45" spans="2:7" x14ac:dyDescent="0.25">
      <c r="B45" s="685" t="s">
        <v>596</v>
      </c>
      <c r="C45" s="685" t="s">
        <v>591</v>
      </c>
      <c r="E45" t="s">
        <v>597</v>
      </c>
      <c r="F45" s="790" t="s">
        <v>734</v>
      </c>
      <c r="G45" t="s">
        <v>795</v>
      </c>
    </row>
    <row r="46" spans="2:7" x14ac:dyDescent="0.25">
      <c r="B46" s="685" t="s">
        <v>596</v>
      </c>
      <c r="C46" s="685" t="s">
        <v>572</v>
      </c>
      <c r="E46" t="s">
        <v>597</v>
      </c>
      <c r="F46" s="790" t="s">
        <v>734</v>
      </c>
      <c r="G46" t="s">
        <v>796</v>
      </c>
    </row>
    <row r="47" spans="2:7" x14ac:dyDescent="0.25">
      <c r="B47" s="685" t="s">
        <v>596</v>
      </c>
      <c r="C47" s="685" t="s">
        <v>595</v>
      </c>
      <c r="E47" t="s">
        <v>597</v>
      </c>
      <c r="F47" s="790" t="s">
        <v>734</v>
      </c>
      <c r="G47" t="s">
        <v>797</v>
      </c>
    </row>
    <row r="48" spans="2:7" x14ac:dyDescent="0.25">
      <c r="B48" s="685" t="s">
        <v>594</v>
      </c>
      <c r="C48" s="685" t="s">
        <v>570</v>
      </c>
      <c r="E48" t="s">
        <v>597</v>
      </c>
      <c r="F48" s="790" t="s">
        <v>734</v>
      </c>
      <c r="G48" t="s">
        <v>798</v>
      </c>
    </row>
    <row r="49" spans="1:7" x14ac:dyDescent="0.25">
      <c r="A49" s="438" t="s">
        <v>600</v>
      </c>
      <c r="B49" s="685" t="s">
        <v>542</v>
      </c>
      <c r="E49" t="s">
        <v>91</v>
      </c>
      <c r="F49" s="790" t="s">
        <v>734</v>
      </c>
      <c r="G49" t="s">
        <v>759</v>
      </c>
    </row>
    <row r="50" spans="1:7" x14ac:dyDescent="0.25">
      <c r="B50" s="685" t="s">
        <v>542</v>
      </c>
      <c r="E50" t="s">
        <v>585</v>
      </c>
      <c r="F50" s="790" t="s">
        <v>734</v>
      </c>
      <c r="G50" t="s">
        <v>760</v>
      </c>
    </row>
    <row r="51" spans="1:7" x14ac:dyDescent="0.25">
      <c r="B51" s="685" t="s">
        <v>542</v>
      </c>
      <c r="C51" s="685" t="s">
        <v>591</v>
      </c>
      <c r="E51" t="s">
        <v>91</v>
      </c>
      <c r="F51" s="790" t="s">
        <v>734</v>
      </c>
      <c r="G51" t="s">
        <v>761</v>
      </c>
    </row>
    <row r="52" spans="1:7" x14ac:dyDescent="0.25">
      <c r="B52" s="685" t="s">
        <v>542</v>
      </c>
      <c r="C52" s="685" t="s">
        <v>214</v>
      </c>
      <c r="E52" t="s">
        <v>91</v>
      </c>
      <c r="F52" s="790" t="s">
        <v>734</v>
      </c>
      <c r="G52" t="s">
        <v>762</v>
      </c>
    </row>
    <row r="53" spans="1:7" x14ac:dyDescent="0.25">
      <c r="A53" s="438" t="s">
        <v>708</v>
      </c>
      <c r="B53" s="685" t="s">
        <v>709</v>
      </c>
      <c r="E53" t="s">
        <v>597</v>
      </c>
      <c r="F53" s="790" t="s">
        <v>734</v>
      </c>
      <c r="G53" t="s">
        <v>763</v>
      </c>
    </row>
    <row r="54" spans="1:7" x14ac:dyDescent="0.25">
      <c r="B54" s="685" t="s">
        <v>710</v>
      </c>
      <c r="E54" t="s">
        <v>597</v>
      </c>
      <c r="F54" s="790" t="s">
        <v>734</v>
      </c>
      <c r="G54" t="s">
        <v>764</v>
      </c>
    </row>
    <row r="55" spans="1:7" x14ac:dyDescent="0.25">
      <c r="B55" s="685" t="s">
        <v>709</v>
      </c>
      <c r="C55" s="685" t="s">
        <v>123</v>
      </c>
      <c r="E55" t="s">
        <v>597</v>
      </c>
      <c r="F55" s="790" t="s">
        <v>734</v>
      </c>
      <c r="G55" t="s">
        <v>765</v>
      </c>
    </row>
    <row r="56" spans="1:7" x14ac:dyDescent="0.25">
      <c r="A56" s="438" t="s">
        <v>711</v>
      </c>
      <c r="B56" s="685" t="s">
        <v>128</v>
      </c>
      <c r="E56" t="s">
        <v>597</v>
      </c>
      <c r="F56" s="790" t="s">
        <v>734</v>
      </c>
      <c r="G56" t="s">
        <v>766</v>
      </c>
    </row>
    <row r="57" spans="1:7" x14ac:dyDescent="0.25">
      <c r="B57" s="685" t="s">
        <v>712</v>
      </c>
      <c r="E57" t="s">
        <v>597</v>
      </c>
      <c r="F57" s="790" t="s">
        <v>734</v>
      </c>
      <c r="G57" t="s">
        <v>767</v>
      </c>
    </row>
    <row r="58" spans="1:7" x14ac:dyDescent="0.25">
      <c r="A58" s="438" t="s">
        <v>713</v>
      </c>
      <c r="B58" s="685" t="s">
        <v>718</v>
      </c>
      <c r="E58" t="s">
        <v>597</v>
      </c>
      <c r="F58" s="790" t="s">
        <v>734</v>
      </c>
      <c r="G58" t="s">
        <v>799</v>
      </c>
    </row>
    <row r="59" spans="1:7" x14ac:dyDescent="0.25">
      <c r="B59" s="685" t="s">
        <v>718</v>
      </c>
      <c r="E59" t="s">
        <v>134</v>
      </c>
      <c r="F59" s="790" t="s">
        <v>734</v>
      </c>
      <c r="G59" t="s">
        <v>800</v>
      </c>
    </row>
    <row r="60" spans="1:7" x14ac:dyDescent="0.25">
      <c r="B60" s="685" t="s">
        <v>720</v>
      </c>
      <c r="E60" t="s">
        <v>768</v>
      </c>
      <c r="F60" s="790" t="s">
        <v>734</v>
      </c>
      <c r="G60" t="s">
        <v>801</v>
      </c>
    </row>
    <row r="61" spans="1:7" x14ac:dyDescent="0.25">
      <c r="B61" s="685" t="s">
        <v>719</v>
      </c>
      <c r="E61" t="s">
        <v>597</v>
      </c>
      <c r="F61" s="790" t="s">
        <v>734</v>
      </c>
      <c r="G61" t="s">
        <v>802</v>
      </c>
    </row>
    <row r="62" spans="1:7" x14ac:dyDescent="0.25">
      <c r="B62" s="685" t="s">
        <v>719</v>
      </c>
      <c r="C62" s="685" t="s">
        <v>501</v>
      </c>
      <c r="E62" t="s">
        <v>597</v>
      </c>
      <c r="F62" s="790" t="s">
        <v>734</v>
      </c>
      <c r="G62" t="s">
        <v>803</v>
      </c>
    </row>
    <row r="63" spans="1:7" x14ac:dyDescent="0.25">
      <c r="B63" s="685" t="s">
        <v>719</v>
      </c>
      <c r="E63" t="s">
        <v>7</v>
      </c>
      <c r="F63" s="790" t="s">
        <v>734</v>
      </c>
      <c r="G63" t="s">
        <v>804</v>
      </c>
    </row>
    <row r="64" spans="1:7" x14ac:dyDescent="0.25">
      <c r="B64" s="685" t="s">
        <v>719</v>
      </c>
      <c r="C64" s="685" t="s">
        <v>501</v>
      </c>
      <c r="E64" t="s">
        <v>7</v>
      </c>
      <c r="F64" s="790" t="s">
        <v>734</v>
      </c>
      <c r="G64" t="s">
        <v>805</v>
      </c>
    </row>
    <row r="65" spans="1:7" x14ac:dyDescent="0.25">
      <c r="B65" s="685" t="s">
        <v>714</v>
      </c>
      <c r="C65" s="685" t="s">
        <v>214</v>
      </c>
      <c r="E65" t="s">
        <v>597</v>
      </c>
      <c r="F65" s="790" t="s">
        <v>734</v>
      </c>
      <c r="G65" t="s">
        <v>806</v>
      </c>
    </row>
    <row r="66" spans="1:7" x14ac:dyDescent="0.25">
      <c r="B66" s="685" t="s">
        <v>714</v>
      </c>
      <c r="C66" s="685" t="s">
        <v>214</v>
      </c>
      <c r="E66" t="s">
        <v>7</v>
      </c>
      <c r="F66" s="790" t="s">
        <v>734</v>
      </c>
      <c r="G66" t="s">
        <v>807</v>
      </c>
    </row>
    <row r="67" spans="1:7" x14ac:dyDescent="0.25">
      <c r="B67" s="685" t="s">
        <v>721</v>
      </c>
      <c r="E67" t="s">
        <v>597</v>
      </c>
      <c r="F67" s="790" t="s">
        <v>734</v>
      </c>
      <c r="G67" t="s">
        <v>808</v>
      </c>
    </row>
    <row r="68" spans="1:7" x14ac:dyDescent="0.25">
      <c r="B68" s="685" t="s">
        <v>721</v>
      </c>
      <c r="E68" t="s">
        <v>7</v>
      </c>
      <c r="F68" s="790" t="s">
        <v>734</v>
      </c>
      <c r="G68" t="s">
        <v>809</v>
      </c>
    </row>
    <row r="69" spans="1:7" x14ac:dyDescent="0.25">
      <c r="B69" s="685" t="s">
        <v>717</v>
      </c>
      <c r="E69" t="s">
        <v>597</v>
      </c>
      <c r="F69" s="790" t="s">
        <v>734</v>
      </c>
      <c r="G69" t="s">
        <v>810</v>
      </c>
    </row>
    <row r="70" spans="1:7" x14ac:dyDescent="0.25">
      <c r="B70" s="685" t="s">
        <v>717</v>
      </c>
      <c r="E70" t="s">
        <v>7</v>
      </c>
      <c r="F70" s="790" t="s">
        <v>734</v>
      </c>
      <c r="G70" t="s">
        <v>811</v>
      </c>
    </row>
    <row r="71" spans="1:7" x14ac:dyDescent="0.25">
      <c r="B71" s="685" t="s">
        <v>718</v>
      </c>
      <c r="C71" s="685" t="s">
        <v>123</v>
      </c>
      <c r="E71" t="s">
        <v>597</v>
      </c>
      <c r="F71" s="790" t="s">
        <v>734</v>
      </c>
      <c r="G71" t="s">
        <v>812</v>
      </c>
    </row>
    <row r="72" spans="1:7" x14ac:dyDescent="0.25">
      <c r="B72" s="685" t="s">
        <v>718</v>
      </c>
      <c r="C72" s="685" t="s">
        <v>123</v>
      </c>
      <c r="E72" t="s">
        <v>7</v>
      </c>
      <c r="F72" s="790" t="s">
        <v>734</v>
      </c>
      <c r="G72" t="s">
        <v>813</v>
      </c>
    </row>
    <row r="73" spans="1:7" x14ac:dyDescent="0.25">
      <c r="B73" s="685" t="s">
        <v>716</v>
      </c>
      <c r="C73" s="685" t="s">
        <v>123</v>
      </c>
      <c r="E73" t="s">
        <v>768</v>
      </c>
      <c r="F73" s="790" t="s">
        <v>734</v>
      </c>
      <c r="G73" t="s">
        <v>814</v>
      </c>
    </row>
    <row r="74" spans="1:7" x14ac:dyDescent="0.25">
      <c r="A74" s="438" t="s">
        <v>715</v>
      </c>
      <c r="B74" s="685" t="s">
        <v>716</v>
      </c>
      <c r="E74" t="s">
        <v>597</v>
      </c>
      <c r="F74" s="790" t="s">
        <v>734</v>
      </c>
      <c r="G74" t="s">
        <v>769</v>
      </c>
    </row>
    <row r="75" spans="1:7" x14ac:dyDescent="0.25">
      <c r="B75" s="685" t="s">
        <v>501</v>
      </c>
      <c r="E75" t="s">
        <v>597</v>
      </c>
      <c r="F75" s="790" t="s">
        <v>734</v>
      </c>
      <c r="G75" t="s">
        <v>770</v>
      </c>
    </row>
    <row r="76" spans="1:7" x14ac:dyDescent="0.25">
      <c r="B76" s="685" t="s">
        <v>714</v>
      </c>
      <c r="E76" t="s">
        <v>7</v>
      </c>
      <c r="F76" s="790" t="s">
        <v>734</v>
      </c>
      <c r="G76" t="s">
        <v>772</v>
      </c>
    </row>
    <row r="77" spans="1:7" x14ac:dyDescent="0.25">
      <c r="B77" s="685" t="s">
        <v>717</v>
      </c>
      <c r="E77" t="s">
        <v>7</v>
      </c>
      <c r="F77" s="790" t="s">
        <v>734</v>
      </c>
      <c r="G77" t="s">
        <v>771</v>
      </c>
    </row>
    <row r="78" spans="1:7" x14ac:dyDescent="0.25">
      <c r="B78" s="685" t="s">
        <v>123</v>
      </c>
      <c r="E78" t="s">
        <v>7</v>
      </c>
      <c r="F78" s="790" t="s">
        <v>734</v>
      </c>
      <c r="G78" t="s">
        <v>773</v>
      </c>
    </row>
    <row r="79" spans="1:7" x14ac:dyDescent="0.25">
      <c r="A79" s="438" t="s">
        <v>724</v>
      </c>
      <c r="B79" s="685" t="s">
        <v>725</v>
      </c>
      <c r="E79" t="s">
        <v>597</v>
      </c>
      <c r="F79" s="790" t="s">
        <v>734</v>
      </c>
      <c r="G79" t="s">
        <v>815</v>
      </c>
    </row>
    <row r="80" spans="1:7" x14ac:dyDescent="0.25">
      <c r="B80" s="685" t="s">
        <v>170</v>
      </c>
      <c r="C80" s="685" t="s">
        <v>727</v>
      </c>
      <c r="E80" t="s">
        <v>597</v>
      </c>
      <c r="F80" s="790" t="s">
        <v>734</v>
      </c>
      <c r="G80" t="s">
        <v>816</v>
      </c>
    </row>
    <row r="81" spans="1:7" x14ac:dyDescent="0.25">
      <c r="B81" s="685" t="s">
        <v>170</v>
      </c>
      <c r="C81" s="685" t="s">
        <v>727</v>
      </c>
      <c r="D81" s="685" t="s">
        <v>123</v>
      </c>
      <c r="E81" t="s">
        <v>597</v>
      </c>
      <c r="F81" s="790" t="s">
        <v>734</v>
      </c>
      <c r="G81" t="s">
        <v>817</v>
      </c>
    </row>
    <row r="82" spans="1:7" x14ac:dyDescent="0.25">
      <c r="B82" s="685" t="s">
        <v>728</v>
      </c>
      <c r="E82" t="s">
        <v>597</v>
      </c>
      <c r="F82" s="790" t="s">
        <v>734</v>
      </c>
      <c r="G82" t="s">
        <v>818</v>
      </c>
    </row>
    <row r="83" spans="1:7" x14ac:dyDescent="0.25">
      <c r="B83" s="685" t="s">
        <v>728</v>
      </c>
      <c r="C83" s="685" t="s">
        <v>727</v>
      </c>
      <c r="E83" t="s">
        <v>597</v>
      </c>
      <c r="F83" s="790" t="s">
        <v>734</v>
      </c>
      <c r="G83" t="s">
        <v>819</v>
      </c>
    </row>
    <row r="84" spans="1:7" x14ac:dyDescent="0.25">
      <c r="B84" s="685" t="s">
        <v>728</v>
      </c>
      <c r="C84" s="685" t="s">
        <v>727</v>
      </c>
      <c r="D84" s="685" t="s">
        <v>123</v>
      </c>
      <c r="E84" t="s">
        <v>597</v>
      </c>
      <c r="F84" s="790" t="s">
        <v>734</v>
      </c>
      <c r="G84" t="s">
        <v>820</v>
      </c>
    </row>
    <row r="85" spans="1:7" x14ac:dyDescent="0.25">
      <c r="B85" s="685" t="s">
        <v>729</v>
      </c>
      <c r="E85" t="s">
        <v>597</v>
      </c>
      <c r="F85" s="790" t="s">
        <v>734</v>
      </c>
      <c r="G85" t="s">
        <v>821</v>
      </c>
    </row>
    <row r="86" spans="1:7" x14ac:dyDescent="0.25">
      <c r="B86" s="685" t="s">
        <v>170</v>
      </c>
      <c r="C86" s="685" t="s">
        <v>726</v>
      </c>
      <c r="E86" t="s">
        <v>597</v>
      </c>
      <c r="F86" s="790" t="s">
        <v>734</v>
      </c>
      <c r="G86" t="s">
        <v>822</v>
      </c>
    </row>
    <row r="87" spans="1:7" x14ac:dyDescent="0.25">
      <c r="B87" s="685" t="s">
        <v>170</v>
      </c>
      <c r="C87" s="685" t="s">
        <v>726</v>
      </c>
      <c r="E87" t="s">
        <v>7</v>
      </c>
      <c r="F87" s="790" t="s">
        <v>734</v>
      </c>
      <c r="G87" t="s">
        <v>823</v>
      </c>
    </row>
    <row r="88" spans="1:7" x14ac:dyDescent="0.25">
      <c r="A88" s="438" t="s">
        <v>730</v>
      </c>
      <c r="B88" s="685" t="s">
        <v>725</v>
      </c>
      <c r="E88" t="s">
        <v>597</v>
      </c>
      <c r="F88" s="790" t="s">
        <v>734</v>
      </c>
      <c r="G88" t="s">
        <v>774</v>
      </c>
    </row>
    <row r="89" spans="1:7" x14ac:dyDescent="0.25">
      <c r="B89" s="685" t="s">
        <v>170</v>
      </c>
      <c r="C89" s="685" t="s">
        <v>726</v>
      </c>
      <c r="E89" t="s">
        <v>597</v>
      </c>
      <c r="F89" s="790" t="s">
        <v>734</v>
      </c>
      <c r="G89" t="s">
        <v>775</v>
      </c>
    </row>
  </sheetData>
  <sheetProtection algorithmName="SHA-512" hashValue="epoZP1ZoN8ALwWMdgA3B7R2AoLrzsSpgt86cHAcbdFxqJVxVgxXV3p00iA3RRbgZ2peZvDQSpsZAWz1gomiSrw==" saltValue="sVmxRPh/+NVU/50Q9LPTSA==" spinCount="100000" sheet="1" objects="1" scenarios="1"/>
  <hyperlinks>
    <hyperlink ref="F6" location="Structure!A1" display="link"/>
    <hyperlink ref="F7" location="'Crewing Model'!A4" display="link"/>
    <hyperlink ref="F8" location="'Crewing Model - Area'!A4" display="link"/>
    <hyperlink ref="F9" location="'Primary Crewing'!A4" display="link"/>
    <hyperlink ref="F10" location="'Primary Crewing - Area'!A4" display="link"/>
    <hyperlink ref="F11" location="'Chart - Station Type'!A4" display="link"/>
    <hyperlink ref="F12" location="'Chart - Area'!A4" display="link"/>
    <hyperlink ref="F13" location="'Chart - Map'!A4" display="link"/>
    <hyperlink ref="F14" location="Vehicles!A4" display="link"/>
    <hyperlink ref="F15" location="'Appliances LA'!A4" display="link"/>
    <hyperlink ref="F16" location="Staffing!A4" display="link"/>
    <hyperlink ref="F17" location="Staffing!A28" display="link"/>
    <hyperlink ref="F18" location="Department!A4" display="link"/>
    <hyperlink ref="F19" location="Department!A30" display="link"/>
    <hyperlink ref="F20" location="'Geographic Structure'!A4" display="link"/>
    <hyperlink ref="F21" location="'Small Area'!A4" display="link"/>
    <hyperlink ref="F22" location="Role!A4" display="link"/>
    <hyperlink ref="F23" location="'Role - Area'!A4" display="link"/>
    <hyperlink ref="F24" location="'WT Role - Area'!A4" display="link"/>
    <hyperlink ref="F25" location="'RDS Role - Area'!A4" display="link"/>
    <hyperlink ref="F26" location="'C&amp;S Role - Area'!A4" display="link"/>
    <hyperlink ref="F27" location="'C&amp;S Role - Area'!A16" display="link"/>
    <hyperlink ref="F28" location="'Vol Role - Area'!A4" display="link"/>
    <hyperlink ref="F29" location="'WT FTE Role - Area'!A4" display="link"/>
    <hyperlink ref="F30" location="'RDS FTE Role - Area'!A4" display="link"/>
    <hyperlink ref="F31" location="'C&amp;S FTE Role - Area'!A4" display="link"/>
    <hyperlink ref="F32" location="'C&amp;S FTE Role - Area'!A16" display="link"/>
    <hyperlink ref="F33" location="'Gender Timeseries'!A4" display="link"/>
    <hyperlink ref="F34" location="Gender!A4" display="link"/>
    <hyperlink ref="F35" location="'Gender and Role'!A4" display="link"/>
    <hyperlink ref="F36" location="'FTE Gender and Role'!A4" display="link"/>
    <hyperlink ref="F37" location="Age!A4" display="link"/>
    <hyperlink ref="F38" location="Age!A27" display="link"/>
    <hyperlink ref="F39" location="'Service Length'!A4" display="link"/>
    <hyperlink ref="F40" location="'Service Length'!A27" display="link"/>
    <hyperlink ref="F41" location="Ethnicity!A4" display="link"/>
    <hyperlink ref="F42" location="Disability!A4" display="link"/>
    <hyperlink ref="F43" location="Disability!A22" display="link"/>
    <hyperlink ref="F44" location="'Entrants - Demographics'!A4" display="link"/>
    <hyperlink ref="F45" location="'Entrants - Demographics'!A27" display="link"/>
    <hyperlink ref="F46" location="'Entrants - Demographics'!A41" display="link"/>
    <hyperlink ref="F47" location="'Entrants - Demographics'!A55" display="link"/>
    <hyperlink ref="F48" location="Leavers!A4" display="link"/>
    <hyperlink ref="F49" location="'Chart Headcount'!A4" display="link"/>
    <hyperlink ref="F50" location="'Chart FTE'!A4" display="link"/>
    <hyperlink ref="F51" location="'Chart Gender'!A4" display="link"/>
    <hyperlink ref="F52" location="'Chart Age'!A4" display="link"/>
    <hyperlink ref="F53" location="Attacks!A4" display="link"/>
    <hyperlink ref="F54" location="Attacks!A21" display="link"/>
    <hyperlink ref="F55" location="'Attacks - Area'!A4" display="link"/>
    <hyperlink ref="F56" location="'Chart - Attacks'!A4" display="link"/>
    <hyperlink ref="F57" location="'Chart - Injuries'!A4" display="link"/>
    <hyperlink ref="F58" location="HFSVs!A4" display="link"/>
    <hyperlink ref="F59" location="HFSVs!A33" display="link"/>
    <hyperlink ref="F60" location="HFSVs!A54" display="link"/>
    <hyperlink ref="F61" location="'Distinct Properties'!A4" display="link"/>
    <hyperlink ref="F62" location="'Distinct Properties'!A23" display="link"/>
    <hyperlink ref="F63" location="'Distinct Propert. Popul.'!A4" display="link"/>
    <hyperlink ref="F64" location="'Distinct Propert. Popul.'!A23" display="link"/>
    <hyperlink ref="F65" location="Residents!A4" display="link"/>
    <hyperlink ref="F66" location="Residents!A23" display="link"/>
    <hyperlink ref="F67" location="SIMD!A4" display="link"/>
    <hyperlink ref="F68" location="SIMD!A23" display="link"/>
    <hyperlink ref="F69" location="Rurality!A4" display="link"/>
    <hyperlink ref="F70" location="Rurality!A21" display="link"/>
    <hyperlink ref="F71" location="'HFSVs LA'!A4" display="link"/>
    <hyperlink ref="F72" location="'Outcome LA'!A4" display="link"/>
    <hyperlink ref="F73" location="'Rate LA'!A4" display="link"/>
    <hyperlink ref="F74" location="'Chart HFSVs'!A4" display="link"/>
    <hyperlink ref="F75" location="'Chart Alarms'!A4" display="link"/>
    <hyperlink ref="F76" location="'Chart Residents'!A4" display="link"/>
    <hyperlink ref="F77" location="'Chart Rurality'!A4" display="link"/>
    <hyperlink ref="F78" location="'Chart LA'!A4" display="link"/>
    <hyperlink ref="F79" location="Workflows!A4" display="link"/>
    <hyperlink ref="F80" location="Audits!A4" display="link"/>
    <hyperlink ref="F81" location="'Audits LA'!A4" display="link"/>
    <hyperlink ref="F82" location="'Audits Outcome'!A4" display="link"/>
    <hyperlink ref="F83" location="'Audits Outcome'!A28" display="link"/>
    <hyperlink ref="F84" location="'Audits Outcome LA'!A4" display="link"/>
    <hyperlink ref="F85" location="Notices!A4" display="link"/>
    <hyperlink ref="F86" location="Risk!A4" display="link"/>
    <hyperlink ref="F87" location="Risk!A30" display="link"/>
    <hyperlink ref="F88" location="'Chart Workflows'!A4" display="link"/>
    <hyperlink ref="F89" location="'Chart Audits'!A4" display="link"/>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39997558519241921"/>
  </sheetPr>
  <dimension ref="A1:J17"/>
  <sheetViews>
    <sheetView showGridLines="0" workbookViewId="0">
      <pane ySplit="2" topLeftCell="A3" activePane="bottomLeft" state="frozen"/>
      <selection sqref="A1:C1"/>
      <selection pane="bottomLeft" sqref="A1:H1"/>
    </sheetView>
  </sheetViews>
  <sheetFormatPr defaultRowHeight="15" x14ac:dyDescent="0.25"/>
  <cols>
    <col min="1" max="1" width="25" bestFit="1" customWidth="1"/>
    <col min="2" max="8" width="11.140625" customWidth="1"/>
    <col min="9" max="9" width="16" customWidth="1"/>
    <col min="10" max="10" width="11.7109375" bestFit="1" customWidth="1"/>
  </cols>
  <sheetData>
    <row r="1" spans="1:10" ht="15.75" x14ac:dyDescent="0.25">
      <c r="A1" s="993" t="s">
        <v>523</v>
      </c>
      <c r="B1" s="993"/>
      <c r="C1" s="993"/>
      <c r="D1" s="993"/>
      <c r="E1" s="993"/>
      <c r="F1" s="993"/>
      <c r="G1" s="993"/>
      <c r="H1" s="993"/>
      <c r="I1" s="37"/>
      <c r="J1" s="38"/>
    </row>
    <row r="2" spans="1:10" ht="18" x14ac:dyDescent="0.25">
      <c r="A2" s="790" t="s">
        <v>598</v>
      </c>
      <c r="B2" s="1"/>
      <c r="C2" s="1"/>
      <c r="D2" s="1"/>
      <c r="E2" s="1"/>
      <c r="F2" s="1"/>
      <c r="G2" s="1"/>
      <c r="H2" s="1"/>
      <c r="I2" s="37"/>
      <c r="J2" s="38"/>
    </row>
    <row r="3" spans="1:10" ht="18" x14ac:dyDescent="0.25">
      <c r="A3" s="1"/>
      <c r="B3" s="1"/>
      <c r="C3" s="1"/>
      <c r="D3" s="1"/>
      <c r="E3" s="1"/>
      <c r="F3" s="1"/>
      <c r="G3" s="1"/>
      <c r="H3" s="1"/>
      <c r="I3" s="37"/>
      <c r="J3" s="38"/>
    </row>
    <row r="4" spans="1:10" ht="30" customHeight="1" x14ac:dyDescent="0.25">
      <c r="A4" s="1004" t="s">
        <v>593</v>
      </c>
      <c r="B4" s="1004"/>
      <c r="C4" s="1004"/>
      <c r="D4" s="1004"/>
      <c r="E4" s="1004"/>
      <c r="F4" s="1004"/>
      <c r="G4" s="1004"/>
      <c r="H4" s="1004"/>
      <c r="I4" s="1004"/>
      <c r="J4" s="1004"/>
    </row>
    <row r="5" spans="1:10" ht="15" customHeight="1" x14ac:dyDescent="0.25">
      <c r="A5" t="s">
        <v>368</v>
      </c>
      <c r="B5" t="s">
        <v>756</v>
      </c>
      <c r="C5" s="631"/>
      <c r="D5" s="631"/>
      <c r="E5" s="631"/>
      <c r="F5" s="631"/>
      <c r="G5" s="631"/>
      <c r="H5" s="631"/>
      <c r="I5" s="631"/>
      <c r="J5" s="631"/>
    </row>
    <row r="6" spans="1:10" ht="15" customHeight="1" x14ac:dyDescent="0.25">
      <c r="A6" t="s">
        <v>369</v>
      </c>
      <c r="B6" t="s">
        <v>371</v>
      </c>
      <c r="C6" s="631"/>
      <c r="D6" s="631"/>
      <c r="E6" s="631"/>
      <c r="F6" s="631"/>
      <c r="G6" s="631"/>
      <c r="H6" s="631"/>
      <c r="I6" s="631"/>
      <c r="J6" s="631"/>
    </row>
    <row r="7" spans="1:10" ht="15" customHeight="1" x14ac:dyDescent="0.25">
      <c r="A7" t="s">
        <v>370</v>
      </c>
      <c r="B7" t="s">
        <v>372</v>
      </c>
      <c r="C7" s="631"/>
      <c r="D7" s="631"/>
      <c r="E7" s="631"/>
      <c r="F7" s="631"/>
      <c r="G7" s="631"/>
      <c r="H7" s="631"/>
      <c r="I7" s="631"/>
      <c r="J7" s="631"/>
    </row>
    <row r="8" spans="1:10" ht="19.5" customHeight="1" x14ac:dyDescent="0.25">
      <c r="A8" s="311"/>
      <c r="B8" s="32"/>
      <c r="C8" s="32"/>
      <c r="D8" s="32"/>
      <c r="E8" s="32"/>
      <c r="F8" s="32"/>
      <c r="G8" s="32"/>
      <c r="H8" s="3"/>
      <c r="I8" s="644" t="s">
        <v>6</v>
      </c>
      <c r="J8" s="644" t="s">
        <v>7</v>
      </c>
    </row>
    <row r="9" spans="1:10" ht="39" x14ac:dyDescent="0.25">
      <c r="A9" s="13" t="s">
        <v>222</v>
      </c>
      <c r="B9" s="3" t="s">
        <v>212</v>
      </c>
      <c r="C9" s="3" t="s">
        <v>18</v>
      </c>
      <c r="D9" s="3" t="s">
        <v>19</v>
      </c>
      <c r="E9" s="3" t="s">
        <v>20</v>
      </c>
      <c r="F9" s="3" t="s">
        <v>21</v>
      </c>
      <c r="G9" s="3" t="s">
        <v>22</v>
      </c>
      <c r="H9" s="3" t="s">
        <v>23</v>
      </c>
      <c r="I9" s="39" t="s">
        <v>24</v>
      </c>
      <c r="J9" s="316" t="s">
        <v>25</v>
      </c>
    </row>
    <row r="10" spans="1:10" ht="18.75" customHeight="1" x14ac:dyDescent="0.25">
      <c r="A10" s="40" t="s">
        <v>13</v>
      </c>
      <c r="B10" s="576">
        <f>GETPIVOTDATA("Sum of Brigade Manager",'h2'!$A$20,"ReportingLevel","1:LA")</f>
        <v>0</v>
      </c>
      <c r="C10" s="576">
        <f>GETPIVOTDATA("Sum of Area Manager",'h2'!$A$20,"ReportingLevel","1:LA")</f>
        <v>0</v>
      </c>
      <c r="D10" s="576">
        <f>GETPIVOTDATA("Sum of Group Manager",'h2'!$A$20,"ReportingLevel","1:LA")</f>
        <v>0</v>
      </c>
      <c r="E10" s="576">
        <f>GETPIVOTDATA("Sum of Station Manager",'h2'!$A$20,"ReportingLevel","1:LA")</f>
        <v>0</v>
      </c>
      <c r="F10" s="576">
        <f>GETPIVOTDATA("Sum of Watch Manager",'h2'!$A$20,"ReportingLevel","1:LA")</f>
        <v>377</v>
      </c>
      <c r="G10" s="576">
        <f>GETPIVOTDATA("Sum of Crew Manager",'h2'!$A$20,"ReportingLevel","1:LA")</f>
        <v>592</v>
      </c>
      <c r="H10" s="576">
        <f>GETPIVOTDATA("Sum of Firefighter",'h2'!$A$20,"ReportingLevel","1:LA")</f>
        <v>1985</v>
      </c>
      <c r="I10" s="395">
        <f>SUM(B10:H10)</f>
        <v>2954</v>
      </c>
      <c r="J10" s="403">
        <f>I10/$I$14</f>
        <v>0.81220786362386588</v>
      </c>
    </row>
    <row r="11" spans="1:10" x14ac:dyDescent="0.25">
      <c r="A11" s="13" t="s">
        <v>14</v>
      </c>
      <c r="B11" s="576">
        <f>GETPIVOTDATA("Sum of Brigade Manager",'h2'!$A$20,"ReportingLevel","2:LSO")</f>
        <v>0</v>
      </c>
      <c r="C11" s="576">
        <f>GETPIVOTDATA("Sum of Area Manager",'h2'!$A$20,"ReportingLevel","2:LSO")</f>
        <v>16</v>
      </c>
      <c r="D11" s="576">
        <f>GETPIVOTDATA("Sum of Group Manager",'h2'!$A$20,"ReportingLevel","2:LSO")</f>
        <v>49</v>
      </c>
      <c r="E11" s="576">
        <f>GETPIVOTDATA("Sum of Station Manager",'h2'!$A$20,"ReportingLevel","2:LSO")</f>
        <v>115</v>
      </c>
      <c r="F11" s="576">
        <f>GETPIVOTDATA("Sum of Watch Manager",'h2'!$A$20,"ReportingLevel","2:LSO")</f>
        <v>124</v>
      </c>
      <c r="G11" s="576">
        <f>GETPIVOTDATA("Sum of Crew Manager",'h2'!$A$20,"ReportingLevel","2:LSO")</f>
        <v>54</v>
      </c>
      <c r="H11" s="576">
        <f>GETPIVOTDATA("Sum of Firefighter",'h2'!$A$20,"ReportingLevel","2:LSO")</f>
        <v>30</v>
      </c>
      <c r="I11" s="395">
        <f>SUM(B11:H11)</f>
        <v>388</v>
      </c>
      <c r="J11" s="404">
        <f>I11/$I$14</f>
        <v>0.10668133076711575</v>
      </c>
    </row>
    <row r="12" spans="1:10" x14ac:dyDescent="0.25">
      <c r="A12" s="13" t="s">
        <v>15</v>
      </c>
      <c r="B12" s="576">
        <f>GETPIVOTDATA("Sum of Brigade Manager",'h2'!$A$20,"ReportingLevel","3:SDA")</f>
        <v>0</v>
      </c>
      <c r="C12" s="576">
        <f>GETPIVOTDATA("Sum of Area Manager",'h2'!$A$20,"ReportingLevel","3:SDA")</f>
        <v>3</v>
      </c>
      <c r="D12" s="576">
        <f>GETPIVOTDATA("Sum of Group Manager",'h2'!$A$20,"ReportingLevel","3:SDA")</f>
        <v>14</v>
      </c>
      <c r="E12" s="576">
        <f>GETPIVOTDATA("Sum of Station Manager",'h2'!$A$20,"ReportingLevel","3:SDA")</f>
        <v>24</v>
      </c>
      <c r="F12" s="576">
        <f>GETPIVOTDATA("Sum of Watch Manager",'h2'!$A$20,"ReportingLevel","3:SDA")</f>
        <v>64</v>
      </c>
      <c r="G12" s="576">
        <f>GETPIVOTDATA("Sum of Crew Manager",'h2'!$A$20,"ReportingLevel","3:SDA")</f>
        <v>41</v>
      </c>
      <c r="H12" s="576">
        <f>GETPIVOTDATA("Sum of Firefighter",'h2'!$A$20,"ReportingLevel","3:SDA")</f>
        <v>0</v>
      </c>
      <c r="I12" s="395">
        <f>SUM(B12:H12)</f>
        <v>146</v>
      </c>
      <c r="J12" s="404">
        <f>I12/$I$14</f>
        <v>4.0142974979378611E-2</v>
      </c>
    </row>
    <row r="13" spans="1:10" x14ac:dyDescent="0.25">
      <c r="A13" s="13" t="s">
        <v>16</v>
      </c>
      <c r="B13" s="576">
        <f>GETPIVOTDATA("Sum of Brigade Manager",'h2'!$A$20,"ReportingLevel","4:National")</f>
        <v>4</v>
      </c>
      <c r="C13" s="576">
        <f>GETPIVOTDATA("Sum of Area Manager",'h2'!$A$20,"ReportingLevel","4:National")</f>
        <v>14</v>
      </c>
      <c r="D13" s="576">
        <f>GETPIVOTDATA("Sum of Group Manager",'h2'!$A$20,"ReportingLevel","4:National")</f>
        <v>17</v>
      </c>
      <c r="E13" s="576">
        <f>GETPIVOTDATA("Sum of Station Manager",'h2'!$A$20,"ReportingLevel","4:National")</f>
        <v>8</v>
      </c>
      <c r="F13" s="576">
        <f>GETPIVOTDATA("Sum of Watch Manager",'h2'!$A$20,"ReportingLevel","4:National")</f>
        <v>46</v>
      </c>
      <c r="G13" s="576">
        <f>GETPIVOTDATA("Sum of Crew Manager",'h2'!$A$20,"ReportingLevel","4:National")</f>
        <v>0</v>
      </c>
      <c r="H13" s="576">
        <f>GETPIVOTDATA("Sum of Firefighter",'h2'!$A$20,"ReportingLevel","4:National")</f>
        <v>60</v>
      </c>
      <c r="I13" s="395">
        <f>SUM(B13:H13)</f>
        <v>149</v>
      </c>
      <c r="J13" s="404">
        <f>I13/$I$14</f>
        <v>4.0967830629639816E-2</v>
      </c>
    </row>
    <row r="14" spans="1:10" ht="23.25" customHeight="1" thickBot="1" x14ac:dyDescent="0.3">
      <c r="A14" s="41" t="s">
        <v>840</v>
      </c>
      <c r="B14" s="399">
        <f t="shared" ref="B14:I14" si="0">SUM(B10:B13)</f>
        <v>4</v>
      </c>
      <c r="C14" s="399">
        <f t="shared" si="0"/>
        <v>33</v>
      </c>
      <c r="D14" s="399">
        <f t="shared" si="0"/>
        <v>80</v>
      </c>
      <c r="E14" s="399">
        <f t="shared" si="0"/>
        <v>147</v>
      </c>
      <c r="F14" s="399">
        <f t="shared" si="0"/>
        <v>611</v>
      </c>
      <c r="G14" s="399">
        <f t="shared" si="0"/>
        <v>687</v>
      </c>
      <c r="H14" s="399">
        <f t="shared" si="0"/>
        <v>2075</v>
      </c>
      <c r="I14" s="399">
        <f t="shared" si="0"/>
        <v>3637</v>
      </c>
      <c r="J14" s="407">
        <f>I14/I14</f>
        <v>1</v>
      </c>
    </row>
    <row r="16" spans="1:10" x14ac:dyDescent="0.25">
      <c r="A16" s="518" t="s">
        <v>8</v>
      </c>
      <c r="B16" s="498"/>
      <c r="C16" s="498"/>
      <c r="D16" s="498"/>
      <c r="E16" s="498"/>
      <c r="F16" s="498"/>
      <c r="G16" s="498"/>
      <c r="H16" s="498"/>
      <c r="I16" s="498"/>
    </row>
    <row r="17" spans="1:9" ht="31.5" customHeight="1" x14ac:dyDescent="0.25">
      <c r="A17" s="1005" t="s">
        <v>835</v>
      </c>
      <c r="B17" s="1005"/>
      <c r="C17" s="1005"/>
      <c r="D17" s="1005"/>
      <c r="E17" s="1005"/>
      <c r="F17" s="1005"/>
      <c r="G17" s="1005"/>
      <c r="H17" s="1005"/>
      <c r="I17" s="1005"/>
    </row>
  </sheetData>
  <sheetProtection algorithmName="SHA-512" hashValue="COm9Cu0pqRrgDA+Fathn3h/k7SMe9Rfu6ObvnVzh3YRLFTX/JvjOwwb2XQYuo12Be+B2GzokDdFVLPucBnNuXA==" saltValue="/1KirKIgUlOt/dx+Rur+QQ==" spinCount="100000" sheet="1" scenarios="1" pivotTables="0"/>
  <mergeCells count="3">
    <mergeCell ref="A4:J4"/>
    <mergeCell ref="A1:H1"/>
    <mergeCell ref="A17:I17"/>
  </mergeCells>
  <hyperlinks>
    <hyperlink ref="A2" location="'Table of Contents'!A1" display="Back to Table of Contents"/>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39997558519241921"/>
    <pageSetUpPr fitToPage="1"/>
  </sheetPr>
  <dimension ref="A1:L80"/>
  <sheetViews>
    <sheetView showGridLines="0" workbookViewId="0">
      <pane ySplit="2" topLeftCell="A3" activePane="bottomLeft" state="frozen"/>
      <selection sqref="A1:C1"/>
      <selection pane="bottomLeft" sqref="A1:H1"/>
    </sheetView>
  </sheetViews>
  <sheetFormatPr defaultRowHeight="15" x14ac:dyDescent="0.25"/>
  <cols>
    <col min="1" max="1" width="17.140625" customWidth="1"/>
    <col min="2" max="2" width="57.5703125" customWidth="1"/>
    <col min="3" max="9" width="11.42578125" customWidth="1"/>
    <col min="10" max="10" width="13.28515625" customWidth="1"/>
  </cols>
  <sheetData>
    <row r="1" spans="1:10" ht="15.75" customHeight="1" x14ac:dyDescent="0.25">
      <c r="A1" s="993" t="s">
        <v>523</v>
      </c>
      <c r="B1" s="993"/>
      <c r="C1" s="993"/>
      <c r="D1" s="993"/>
      <c r="E1" s="993"/>
      <c r="F1" s="993"/>
      <c r="G1" s="993"/>
      <c r="H1" s="993"/>
      <c r="I1" s="31"/>
      <c r="J1" s="31"/>
    </row>
    <row r="2" spans="1:10" ht="15" customHeight="1" x14ac:dyDescent="0.25">
      <c r="A2" s="790" t="s">
        <v>598</v>
      </c>
      <c r="C2" s="668"/>
      <c r="D2" s="668"/>
      <c r="E2" s="668"/>
      <c r="F2" s="668"/>
      <c r="G2" s="668"/>
      <c r="H2" s="668"/>
      <c r="I2" s="31"/>
      <c r="J2" s="31"/>
    </row>
    <row r="3" spans="1:10" ht="15" customHeight="1" x14ac:dyDescent="0.25">
      <c r="A3" t="s">
        <v>1063</v>
      </c>
      <c r="C3" s="668"/>
      <c r="D3" s="668"/>
      <c r="E3" s="668"/>
      <c r="F3" s="668"/>
      <c r="G3" s="668"/>
      <c r="H3" s="668"/>
      <c r="I3" s="31"/>
      <c r="J3" s="31"/>
    </row>
    <row r="4" spans="1:10" ht="30" customHeight="1" x14ac:dyDescent="0.25">
      <c r="A4" s="1004" t="s">
        <v>554</v>
      </c>
      <c r="B4" s="1004"/>
      <c r="C4" s="1004"/>
      <c r="D4" s="1004"/>
      <c r="E4" s="1004"/>
      <c r="F4" s="1004"/>
      <c r="G4" s="1004"/>
      <c r="H4" s="1004"/>
      <c r="I4" s="1004"/>
      <c r="J4" s="1004"/>
    </row>
    <row r="5" spans="1:10" ht="15" customHeight="1" x14ac:dyDescent="0.25">
      <c r="A5" t="s">
        <v>368</v>
      </c>
      <c r="B5" t="s">
        <v>757</v>
      </c>
      <c r="C5" s="631"/>
      <c r="D5" s="631"/>
      <c r="E5" s="631"/>
      <c r="F5" s="631"/>
      <c r="G5" s="631"/>
      <c r="H5" s="631"/>
      <c r="I5" s="631"/>
      <c r="J5" s="631"/>
    </row>
    <row r="6" spans="1:10" ht="15.75" customHeight="1" x14ac:dyDescent="0.25">
      <c r="A6" t="s">
        <v>369</v>
      </c>
      <c r="B6" t="s">
        <v>371</v>
      </c>
      <c r="C6" s="631"/>
      <c r="D6" s="631"/>
      <c r="E6" s="631"/>
      <c r="F6" s="631"/>
      <c r="G6" s="631"/>
      <c r="H6" s="631"/>
      <c r="I6" s="631"/>
      <c r="J6" s="631"/>
    </row>
    <row r="7" spans="1:10" ht="15.75" customHeight="1" x14ac:dyDescent="0.25">
      <c r="A7" t="s">
        <v>370</v>
      </c>
      <c r="B7" t="s">
        <v>372</v>
      </c>
      <c r="C7" s="631"/>
      <c r="D7" s="631"/>
      <c r="E7" s="631"/>
      <c r="F7" s="631"/>
      <c r="G7" s="631"/>
      <c r="H7" s="631"/>
      <c r="I7" s="631"/>
      <c r="J7" s="631"/>
    </row>
    <row r="8" spans="1:10" ht="30" x14ac:dyDescent="0.25">
      <c r="B8" s="47" t="s">
        <v>222</v>
      </c>
      <c r="C8" s="51" t="s">
        <v>212</v>
      </c>
      <c r="D8" s="51" t="s">
        <v>18</v>
      </c>
      <c r="E8" s="51" t="s">
        <v>19</v>
      </c>
      <c r="F8" s="51" t="s">
        <v>20</v>
      </c>
      <c r="G8" s="51" t="s">
        <v>21</v>
      </c>
      <c r="H8" s="51" t="s">
        <v>22</v>
      </c>
      <c r="I8" s="51" t="s">
        <v>23</v>
      </c>
      <c r="J8" s="663" t="s">
        <v>82</v>
      </c>
    </row>
    <row r="9" spans="1:10" ht="15.75" thickBot="1" x14ac:dyDescent="0.3">
      <c r="B9" s="49" t="s">
        <v>82</v>
      </c>
      <c r="C9" s="80">
        <f t="shared" ref="C9:J9" si="0">C44+C64+C70+C72</f>
        <v>4</v>
      </c>
      <c r="D9" s="80">
        <f t="shared" si="0"/>
        <v>33</v>
      </c>
      <c r="E9" s="80">
        <f t="shared" si="0"/>
        <v>80</v>
      </c>
      <c r="F9" s="80">
        <f t="shared" si="0"/>
        <v>147</v>
      </c>
      <c r="G9" s="80">
        <f t="shared" si="0"/>
        <v>611</v>
      </c>
      <c r="H9" s="80">
        <f t="shared" si="0"/>
        <v>687</v>
      </c>
      <c r="I9" s="80">
        <f t="shared" si="0"/>
        <v>2075</v>
      </c>
      <c r="J9" s="80">
        <f t="shared" si="0"/>
        <v>3637</v>
      </c>
    </row>
    <row r="10" spans="1:10" x14ac:dyDescent="0.25">
      <c r="B10" s="50"/>
      <c r="C10" s="55"/>
      <c r="D10" s="55"/>
      <c r="E10" s="55"/>
      <c r="F10" s="55"/>
      <c r="G10" s="55"/>
      <c r="H10" s="55"/>
      <c r="I10" s="55"/>
      <c r="J10" s="82"/>
    </row>
    <row r="11" spans="1:10" x14ac:dyDescent="0.25">
      <c r="A11" s="53" t="s">
        <v>534</v>
      </c>
      <c r="B11" s="53" t="s">
        <v>30</v>
      </c>
      <c r="C11" s="28"/>
      <c r="D11" s="24"/>
      <c r="E11" s="24"/>
      <c r="F11" s="24"/>
      <c r="G11" s="24"/>
      <c r="H11" s="24"/>
      <c r="I11" s="24"/>
      <c r="J11" s="24"/>
    </row>
    <row r="12" spans="1:10" ht="19.5" customHeight="1" x14ac:dyDescent="0.25">
      <c r="A12" s="577" t="s">
        <v>306</v>
      </c>
      <c r="B12" s="56" t="s">
        <v>31</v>
      </c>
      <c r="C12" s="660">
        <f>IFERROR(GETPIVOTDATA((CONCATENATE("Sum of ", C$8)),'h4'!$A$1,"ReportingLevel","1:LA","lvl",$B12),0)</f>
        <v>0</v>
      </c>
      <c r="D12" s="660">
        <f>IFERROR(GETPIVOTDATA((CONCATENATE("Sum of ", D$8)),'h4'!$A$1,"ReportingLevel","1:LA","lvl",$B12),0)</f>
        <v>0</v>
      </c>
      <c r="E12" s="660">
        <f>IFERROR(GETPIVOTDATA((CONCATENATE("Sum of ", E$8)),'h4'!$A$1,"ReportingLevel","1:LA","lvl",$B12),0)</f>
        <v>0</v>
      </c>
      <c r="F12" s="660">
        <f>IFERROR(GETPIVOTDATA((CONCATENATE("Sum of ", F$8)),'h4'!$A$1,"ReportingLevel","1:LA","lvl",$B12),0)</f>
        <v>0</v>
      </c>
      <c r="G12" s="416">
        <f>IFERROR(GETPIVOTDATA((CONCATENATE("Sum of ", G$8)),'h4'!$A$1,"ReportingLevel","1:LA","lvl",$B12),0)</f>
        <v>15</v>
      </c>
      <c r="H12" s="416">
        <f>IFERROR(GETPIVOTDATA((CONCATENATE("Sum of ", H$8)),'h4'!$A$1,"ReportingLevel","1:LA","lvl",$B12),0)</f>
        <v>35</v>
      </c>
      <c r="I12" s="416">
        <f>IFERROR(GETPIVOTDATA((CONCATENATE("Sum of ", I$8)),'h4'!$A$1,"ReportingLevel","1:LA","lvl",$B12),0)</f>
        <v>103</v>
      </c>
      <c r="J12" s="84">
        <f t="shared" ref="J12:J37" si="1">SUM(C12:I12)</f>
        <v>153</v>
      </c>
    </row>
    <row r="13" spans="1:10" x14ac:dyDescent="0.25">
      <c r="A13" s="578" t="s">
        <v>307</v>
      </c>
      <c r="B13" s="59" t="s">
        <v>32</v>
      </c>
      <c r="C13" s="661">
        <f>IFERROR(GETPIVOTDATA((CONCATENATE("Sum of ", C$8)),'h4'!$A$1,"ReportingLevel","1:LA","lvl",$B13),0)</f>
        <v>0</v>
      </c>
      <c r="D13" s="661">
        <f>IFERROR(GETPIVOTDATA((CONCATENATE("Sum of ", D$8)),'h4'!$A$1,"ReportingLevel","1:LA","lvl",$B13),0)</f>
        <v>0</v>
      </c>
      <c r="E13" s="661">
        <f>IFERROR(GETPIVOTDATA((CONCATENATE("Sum of ", E$8)),'h4'!$A$1,"ReportingLevel","1:LA","lvl",$B13),0)</f>
        <v>0</v>
      </c>
      <c r="F13" s="661">
        <f>IFERROR(GETPIVOTDATA((CONCATENATE("Sum of ", F$8)),'h4'!$A$1,"ReportingLevel","1:LA","lvl",$B13),0)</f>
        <v>0</v>
      </c>
      <c r="G13" s="83">
        <f>IFERROR(GETPIVOTDATA((CONCATENATE("Sum of ", G$8)),'h4'!$A$1,"ReportingLevel","1:LA","lvl",$B13),0)</f>
        <v>5</v>
      </c>
      <c r="H13" s="83">
        <f>IFERROR(GETPIVOTDATA((CONCATENATE("Sum of ", H$8)),'h4'!$A$1,"ReportingLevel","1:LA","lvl",$B13),0)</f>
        <v>5</v>
      </c>
      <c r="I13" s="83">
        <f>IFERROR(GETPIVOTDATA((CONCATENATE("Sum of ", I$8)),'h4'!$A$1,"ReportingLevel","1:LA","lvl",$B13),0)</f>
        <v>20</v>
      </c>
      <c r="J13" s="84">
        <f t="shared" si="1"/>
        <v>30</v>
      </c>
    </row>
    <row r="14" spans="1:10" x14ac:dyDescent="0.25">
      <c r="A14" s="578" t="s">
        <v>313</v>
      </c>
      <c r="B14" s="59" t="s">
        <v>33</v>
      </c>
      <c r="C14" s="661">
        <f>IFERROR(GETPIVOTDATA((CONCATENATE("Sum of ", C$8)),'h4'!$A$1,"ReportingLevel","1:LA","lvl",$B14),0)</f>
        <v>0</v>
      </c>
      <c r="D14" s="661">
        <f>IFERROR(GETPIVOTDATA((CONCATENATE("Sum of ", D$8)),'h4'!$A$1,"ReportingLevel","1:LA","lvl",$B14),0)</f>
        <v>0</v>
      </c>
      <c r="E14" s="661">
        <f>IFERROR(GETPIVOTDATA((CONCATENATE("Sum of ", E$8)),'h4'!$A$1,"ReportingLevel","1:LA","lvl",$B14),0)</f>
        <v>0</v>
      </c>
      <c r="F14" s="661">
        <f>IFERROR(GETPIVOTDATA((CONCATENATE("Sum of ", F$8)),'h4'!$A$1,"ReportingLevel","1:LA","lvl",$B14),0)</f>
        <v>0</v>
      </c>
      <c r="G14" s="83">
        <f>IFERROR(GETPIVOTDATA((CONCATENATE("Sum of ", G$8)),'h4'!$A$1,"ReportingLevel","1:LA","lvl",$B14),0)</f>
        <v>5</v>
      </c>
      <c r="H14" s="83">
        <f>IFERROR(GETPIVOTDATA((CONCATENATE("Sum of ", H$8)),'h4'!$A$1,"ReportingLevel","1:LA","lvl",$B14),0)</f>
        <v>5</v>
      </c>
      <c r="I14" s="83">
        <f>IFERROR(GETPIVOTDATA((CONCATENATE("Sum of ", I$8)),'h4'!$A$1,"ReportingLevel","1:LA","lvl",$B14),0)</f>
        <v>18</v>
      </c>
      <c r="J14" s="84">
        <f t="shared" si="1"/>
        <v>28</v>
      </c>
    </row>
    <row r="15" spans="1:10" x14ac:dyDescent="0.25">
      <c r="A15" s="578" t="s">
        <v>308</v>
      </c>
      <c r="B15" s="59" t="s">
        <v>34</v>
      </c>
      <c r="C15" s="661">
        <f>IFERROR(GETPIVOTDATA((CONCATENATE("Sum of ", C$8)),'h4'!$A$1,"ReportingLevel","1:LA","lvl",$B15),0)</f>
        <v>0</v>
      </c>
      <c r="D15" s="661">
        <f>IFERROR(GETPIVOTDATA((CONCATENATE("Sum of ", D$8)),'h4'!$A$1,"ReportingLevel","1:LA","lvl",$B15),0)</f>
        <v>0</v>
      </c>
      <c r="E15" s="661">
        <f>IFERROR(GETPIVOTDATA((CONCATENATE("Sum of ", E$8)),'h4'!$A$1,"ReportingLevel","1:LA","lvl",$B15),0)</f>
        <v>0</v>
      </c>
      <c r="F15" s="661">
        <f>IFERROR(GETPIVOTDATA((CONCATENATE("Sum of ", F$8)),'h4'!$A$1,"ReportingLevel","1:LA","lvl",$B15),0)</f>
        <v>0</v>
      </c>
      <c r="G15" s="83">
        <f>IFERROR(GETPIVOTDATA((CONCATENATE("Sum of ", G$8)),'h4'!$A$1,"ReportingLevel","1:LA","lvl",$B15),0)</f>
        <v>10</v>
      </c>
      <c r="H15" s="83">
        <f>IFERROR(GETPIVOTDATA((CONCATENATE("Sum of ", H$8)),'h4'!$A$1,"ReportingLevel","1:LA","lvl",$B15),0)</f>
        <v>11</v>
      </c>
      <c r="I15" s="83">
        <f>IFERROR(GETPIVOTDATA((CONCATENATE("Sum of ", I$8)),'h4'!$A$1,"ReportingLevel","1:LA","lvl",$B15),0)</f>
        <v>33</v>
      </c>
      <c r="J15" s="84">
        <f t="shared" si="1"/>
        <v>54</v>
      </c>
    </row>
    <row r="16" spans="1:10" x14ac:dyDescent="0.25">
      <c r="A16" s="578" t="s">
        <v>309</v>
      </c>
      <c r="B16" s="59" t="s">
        <v>262</v>
      </c>
      <c r="C16" s="661">
        <f>IFERROR(GETPIVOTDATA((CONCATENATE("Sum of ", C$8)),'h4'!$A$1,"ReportingLevel","1:LA","lvl",$B16),0)</f>
        <v>0</v>
      </c>
      <c r="D16" s="661">
        <f>IFERROR(GETPIVOTDATA((CONCATENATE("Sum of ", D$8)),'h4'!$A$1,"ReportingLevel","1:LA","lvl",$B16),0)</f>
        <v>0</v>
      </c>
      <c r="E16" s="661">
        <f>IFERROR(GETPIVOTDATA((CONCATENATE("Sum of ", E$8)),'h4'!$A$1,"ReportingLevel","1:LA","lvl",$B16),0)</f>
        <v>0</v>
      </c>
      <c r="F16" s="661">
        <f>IFERROR(GETPIVOTDATA((CONCATENATE("Sum of ", F$8)),'h4'!$A$1,"ReportingLevel","1:LA","lvl",$B16),0)</f>
        <v>0</v>
      </c>
      <c r="G16" s="83">
        <f>IFERROR(GETPIVOTDATA((CONCATENATE("Sum of ", G$8)),'h4'!$A$1,"ReportingLevel","1:LA","lvl",$B16),0)</f>
        <v>35</v>
      </c>
      <c r="H16" s="83">
        <f>IFERROR(GETPIVOTDATA((CONCATENATE("Sum of ", H$8)),'h4'!$A$1,"ReportingLevel","1:LA","lvl",$B16),0)</f>
        <v>59</v>
      </c>
      <c r="I16" s="83">
        <f>IFERROR(GETPIVOTDATA((CONCATENATE("Sum of ", I$8)),'h4'!$A$1,"ReportingLevel","1:LA","lvl",$B16),0)</f>
        <v>203</v>
      </c>
      <c r="J16" s="84">
        <f t="shared" si="1"/>
        <v>297</v>
      </c>
    </row>
    <row r="17" spans="1:10" x14ac:dyDescent="0.25">
      <c r="A17" s="578" t="s">
        <v>287</v>
      </c>
      <c r="B17" s="59" t="s">
        <v>35</v>
      </c>
      <c r="C17" s="661">
        <f>IFERROR(GETPIVOTDATA((CONCATENATE("Sum of ", C$8)),'h4'!$A$1,"ReportingLevel","1:LA","lvl",$B17),0)</f>
        <v>0</v>
      </c>
      <c r="D17" s="661">
        <f>IFERROR(GETPIVOTDATA((CONCATENATE("Sum of ", D$8)),'h4'!$A$1,"ReportingLevel","1:LA","lvl",$B17),0)</f>
        <v>0</v>
      </c>
      <c r="E17" s="661">
        <f>IFERROR(GETPIVOTDATA((CONCATENATE("Sum of ", E$8)),'h4'!$A$1,"ReportingLevel","1:LA","lvl",$B17),0)</f>
        <v>0</v>
      </c>
      <c r="F17" s="661">
        <f>IFERROR(GETPIVOTDATA((CONCATENATE("Sum of ", F$8)),'h4'!$A$1,"ReportingLevel","1:LA","lvl",$B17),0)</f>
        <v>0</v>
      </c>
      <c r="G17" s="83">
        <f>IFERROR(GETPIVOTDATA((CONCATENATE("Sum of ", G$8)),'h4'!$A$1,"ReportingLevel","1:LA","lvl",$B17),0)</f>
        <v>5</v>
      </c>
      <c r="H17" s="83">
        <f>IFERROR(GETPIVOTDATA((CONCATENATE("Sum of ", H$8)),'h4'!$A$1,"ReportingLevel","1:LA","lvl",$B17),0)</f>
        <v>5</v>
      </c>
      <c r="I17" s="83">
        <f>IFERROR(GETPIVOTDATA((CONCATENATE("Sum of ", I$8)),'h4'!$A$1,"ReportingLevel","1:LA","lvl",$B17),0)</f>
        <v>15</v>
      </c>
      <c r="J17" s="84">
        <f t="shared" si="1"/>
        <v>25</v>
      </c>
    </row>
    <row r="18" spans="1:10" x14ac:dyDescent="0.25">
      <c r="A18" s="578" t="s">
        <v>288</v>
      </c>
      <c r="B18" s="59" t="s">
        <v>36</v>
      </c>
      <c r="C18" s="661">
        <f>IFERROR(GETPIVOTDATA((CONCATENATE("Sum of ", C$8)),'h4'!$A$1,"ReportingLevel","1:LA","lvl",$B18),0)</f>
        <v>0</v>
      </c>
      <c r="D18" s="661">
        <f>IFERROR(GETPIVOTDATA((CONCATENATE("Sum of ", D$8)),'h4'!$A$1,"ReportingLevel","1:LA","lvl",$B18),0)</f>
        <v>0</v>
      </c>
      <c r="E18" s="661">
        <f>IFERROR(GETPIVOTDATA((CONCATENATE("Sum of ", E$8)),'h4'!$A$1,"ReportingLevel","1:LA","lvl",$B18),0)</f>
        <v>0</v>
      </c>
      <c r="F18" s="661">
        <f>IFERROR(GETPIVOTDATA((CONCATENATE("Sum of ", F$8)),'h4'!$A$1,"ReportingLevel","1:LA","lvl",$B18),0)</f>
        <v>0</v>
      </c>
      <c r="G18" s="83">
        <f>IFERROR(GETPIVOTDATA((CONCATENATE("Sum of ", G$8)),'h4'!$A$1,"ReportingLevel","1:LA","lvl",$B18),0)</f>
        <v>5</v>
      </c>
      <c r="H18" s="83">
        <f>IFERROR(GETPIVOTDATA((CONCATENATE("Sum of ", H$8)),'h4'!$A$1,"ReportingLevel","1:LA","lvl",$B18),0)</f>
        <v>10</v>
      </c>
      <c r="I18" s="83">
        <f>IFERROR(GETPIVOTDATA((CONCATENATE("Sum of ", I$8)),'h4'!$A$1,"ReportingLevel","1:LA","lvl",$B18),0)</f>
        <v>38</v>
      </c>
      <c r="J18" s="84">
        <f t="shared" si="1"/>
        <v>53</v>
      </c>
    </row>
    <row r="19" spans="1:10" x14ac:dyDescent="0.25">
      <c r="A19" s="578" t="s">
        <v>314</v>
      </c>
      <c r="B19" s="59" t="s">
        <v>37</v>
      </c>
      <c r="C19" s="661">
        <f>IFERROR(GETPIVOTDATA((CONCATENATE("Sum of ", C$8)),'h4'!$A$1,"ReportingLevel","1:LA","lvl",$B19),0)</f>
        <v>0</v>
      </c>
      <c r="D19" s="661">
        <f>IFERROR(GETPIVOTDATA((CONCATENATE("Sum of ", D$8)),'h4'!$A$1,"ReportingLevel","1:LA","lvl",$B19),0)</f>
        <v>0</v>
      </c>
      <c r="E19" s="661">
        <f>IFERROR(GETPIVOTDATA((CONCATENATE("Sum of ", E$8)),'h4'!$A$1,"ReportingLevel","1:LA","lvl",$B19),0)</f>
        <v>0</v>
      </c>
      <c r="F19" s="661">
        <f>IFERROR(GETPIVOTDATA((CONCATENATE("Sum of ", F$8)),'h4'!$A$1,"ReportingLevel","1:LA","lvl",$B19),0)</f>
        <v>0</v>
      </c>
      <c r="G19" s="83">
        <f>IFERROR(GETPIVOTDATA((CONCATENATE("Sum of ", G$8)),'h4'!$A$1,"ReportingLevel","1:LA","lvl",$B19),0)</f>
        <v>20</v>
      </c>
      <c r="H19" s="83">
        <f>IFERROR(GETPIVOTDATA((CONCATENATE("Sum of ", H$8)),'h4'!$A$1,"ReportingLevel","1:LA","lvl",$B19),0)</f>
        <v>35</v>
      </c>
      <c r="I19" s="83">
        <f>IFERROR(GETPIVOTDATA((CONCATENATE("Sum of ", I$8)),'h4'!$A$1,"ReportingLevel","1:LA","lvl",$B19),0)</f>
        <v>122</v>
      </c>
      <c r="J19" s="84">
        <f t="shared" si="1"/>
        <v>177</v>
      </c>
    </row>
    <row r="20" spans="1:10" x14ac:dyDescent="0.25">
      <c r="A20" s="578" t="s">
        <v>289</v>
      </c>
      <c r="B20" s="59" t="s">
        <v>38</v>
      </c>
      <c r="C20" s="661">
        <f>IFERROR(GETPIVOTDATA((CONCATENATE("Sum of ", C$8)),'h4'!$A$1,"ReportingLevel","1:LA","lvl",$B20),0)</f>
        <v>0</v>
      </c>
      <c r="D20" s="661">
        <f>IFERROR(GETPIVOTDATA((CONCATENATE("Sum of ", D$8)),'h4'!$A$1,"ReportingLevel","1:LA","lvl",$B20),0)</f>
        <v>0</v>
      </c>
      <c r="E20" s="661">
        <f>IFERROR(GETPIVOTDATA((CONCATENATE("Sum of ", E$8)),'h4'!$A$1,"ReportingLevel","1:LA","lvl",$B20),0)</f>
        <v>0</v>
      </c>
      <c r="F20" s="661">
        <f>IFERROR(GETPIVOTDATA((CONCATENATE("Sum of ", F$8)),'h4'!$A$1,"ReportingLevel","1:LA","lvl",$B20),0)</f>
        <v>0</v>
      </c>
      <c r="G20" s="83">
        <f>IFERROR(GETPIVOTDATA((CONCATENATE("Sum of ", G$8)),'h4'!$A$1,"ReportingLevel","1:LA","lvl",$B20),0)</f>
        <v>5</v>
      </c>
      <c r="H20" s="83">
        <f>IFERROR(GETPIVOTDATA((CONCATENATE("Sum of ", H$8)),'h4'!$A$1,"ReportingLevel","1:LA","lvl",$B20),0)</f>
        <v>10</v>
      </c>
      <c r="I20" s="83">
        <f>IFERROR(GETPIVOTDATA((CONCATENATE("Sum of ", I$8)),'h4'!$A$1,"ReportingLevel","1:LA","lvl",$B20),0)</f>
        <v>32</v>
      </c>
      <c r="J20" s="84">
        <f t="shared" si="1"/>
        <v>47</v>
      </c>
    </row>
    <row r="21" spans="1:10" x14ac:dyDescent="0.25">
      <c r="A21" s="578" t="s">
        <v>316</v>
      </c>
      <c r="B21" s="59" t="s">
        <v>39</v>
      </c>
      <c r="C21" s="661">
        <f>IFERROR(GETPIVOTDATA((CONCATENATE("Sum of ", C$8)),'h4'!$A$1,"ReportingLevel","1:LA","lvl",$B21),0)</f>
        <v>0</v>
      </c>
      <c r="D21" s="661">
        <f>IFERROR(GETPIVOTDATA((CONCATENATE("Sum of ", D$8)),'h4'!$A$1,"ReportingLevel","1:LA","lvl",$B21),0)</f>
        <v>0</v>
      </c>
      <c r="E21" s="661">
        <f>IFERROR(GETPIVOTDATA((CONCATENATE("Sum of ", E$8)),'h4'!$A$1,"ReportingLevel","1:LA","lvl",$B21),0)</f>
        <v>0</v>
      </c>
      <c r="F21" s="661">
        <f>IFERROR(GETPIVOTDATA((CONCATENATE("Sum of ", F$8)),'h4'!$A$1,"ReportingLevel","1:LA","lvl",$B21),0)</f>
        <v>0</v>
      </c>
      <c r="G21" s="83">
        <f>IFERROR(GETPIVOTDATA((CONCATENATE("Sum of ", G$8)),'h4'!$A$1,"ReportingLevel","1:LA","lvl",$B21),0)</f>
        <v>16</v>
      </c>
      <c r="H21" s="83">
        <f>IFERROR(GETPIVOTDATA((CONCATENATE("Sum of ", H$8)),'h4'!$A$1,"ReportingLevel","1:LA","lvl",$B21),0)</f>
        <v>15</v>
      </c>
      <c r="I21" s="83">
        <f>IFERROR(GETPIVOTDATA((CONCATENATE("Sum of ", I$8)),'h4'!$A$1,"ReportingLevel","1:LA","lvl",$B21),0)</f>
        <v>47</v>
      </c>
      <c r="J21" s="84">
        <f t="shared" si="1"/>
        <v>78</v>
      </c>
    </row>
    <row r="22" spans="1:10" x14ac:dyDescent="0.25">
      <c r="A22" s="578" t="s">
        <v>290</v>
      </c>
      <c r="B22" s="59" t="s">
        <v>40</v>
      </c>
      <c r="C22" s="661">
        <f>IFERROR(GETPIVOTDATA((CONCATENATE("Sum of ", C$8)),'h4'!$A$1,"ReportingLevel","1:LA","lvl",$B22),0)</f>
        <v>0</v>
      </c>
      <c r="D22" s="661">
        <f>IFERROR(GETPIVOTDATA((CONCATENATE("Sum of ", D$8)),'h4'!$A$1,"ReportingLevel","1:LA","lvl",$B22),0)</f>
        <v>0</v>
      </c>
      <c r="E22" s="661">
        <f>IFERROR(GETPIVOTDATA((CONCATENATE("Sum of ", E$8)),'h4'!$A$1,"ReportingLevel","1:LA","lvl",$B22),0)</f>
        <v>0</v>
      </c>
      <c r="F22" s="661">
        <f>IFERROR(GETPIVOTDATA((CONCATENATE("Sum of ", F$8)),'h4'!$A$1,"ReportingLevel","1:LA","lvl",$B22),0)</f>
        <v>0</v>
      </c>
      <c r="G22" s="83">
        <f>IFERROR(GETPIVOTDATA((CONCATENATE("Sum of ", G$8)),'h4'!$A$1,"ReportingLevel","1:LA","lvl",$B22),0)</f>
        <v>5</v>
      </c>
      <c r="H22" s="83">
        <f>IFERROR(GETPIVOTDATA((CONCATENATE("Sum of ", H$8)),'h4'!$A$1,"ReportingLevel","1:LA","lvl",$B22),0)</f>
        <v>5</v>
      </c>
      <c r="I22" s="83">
        <f>IFERROR(GETPIVOTDATA((CONCATENATE("Sum of ", I$8)),'h4'!$A$1,"ReportingLevel","1:LA","lvl",$B22),0)</f>
        <v>14</v>
      </c>
      <c r="J22" s="84">
        <f t="shared" si="1"/>
        <v>24</v>
      </c>
    </row>
    <row r="23" spans="1:10" x14ac:dyDescent="0.25">
      <c r="A23" s="578" t="s">
        <v>291</v>
      </c>
      <c r="B23" s="59" t="s">
        <v>41</v>
      </c>
      <c r="C23" s="661">
        <f>IFERROR(GETPIVOTDATA((CONCATENATE("Sum of ", C$8)),'h4'!$A$1,"ReportingLevel","1:LA","lvl",$B23),0)</f>
        <v>0</v>
      </c>
      <c r="D23" s="661">
        <f>IFERROR(GETPIVOTDATA((CONCATENATE("Sum of ", D$8)),'h4'!$A$1,"ReportingLevel","1:LA","lvl",$B23),0)</f>
        <v>0</v>
      </c>
      <c r="E23" s="661">
        <f>IFERROR(GETPIVOTDATA((CONCATENATE("Sum of ", E$8)),'h4'!$A$1,"ReportingLevel","1:LA","lvl",$B23),0)</f>
        <v>0</v>
      </c>
      <c r="F23" s="661">
        <f>IFERROR(GETPIVOTDATA((CONCATENATE("Sum of ", F$8)),'h4'!$A$1,"ReportingLevel","1:LA","lvl",$B23),0)</f>
        <v>0</v>
      </c>
      <c r="G23" s="83">
        <f>IFERROR(GETPIVOTDATA((CONCATENATE("Sum of ", G$8)),'h4'!$A$1,"ReportingLevel","1:LA","lvl",$B23),0)</f>
        <v>11</v>
      </c>
      <c r="H23" s="83">
        <f>IFERROR(GETPIVOTDATA((CONCATENATE("Sum of ", H$8)),'h4'!$A$1,"ReportingLevel","1:LA","lvl",$B23),0)</f>
        <v>10</v>
      </c>
      <c r="I23" s="83">
        <f>IFERROR(GETPIVOTDATA((CONCATENATE("Sum of ", I$8)),'h4'!$A$1,"ReportingLevel","1:LA","lvl",$B23),0)</f>
        <v>31</v>
      </c>
      <c r="J23" s="84">
        <f t="shared" si="1"/>
        <v>52</v>
      </c>
    </row>
    <row r="24" spans="1:10" x14ac:dyDescent="0.25">
      <c r="A24" s="578" t="s">
        <v>293</v>
      </c>
      <c r="B24" s="59" t="s">
        <v>42</v>
      </c>
      <c r="C24" s="661">
        <f>IFERROR(GETPIVOTDATA((CONCATENATE("Sum of ", C$8)),'h4'!$A$1,"ReportingLevel","1:LA","lvl",$B24),0)</f>
        <v>0</v>
      </c>
      <c r="D24" s="661">
        <f>IFERROR(GETPIVOTDATA((CONCATENATE("Sum of ", D$8)),'h4'!$A$1,"ReportingLevel","1:LA","lvl",$B24),0)</f>
        <v>0</v>
      </c>
      <c r="E24" s="661">
        <f>IFERROR(GETPIVOTDATA((CONCATENATE("Sum of ", E$8)),'h4'!$A$1,"ReportingLevel","1:LA","lvl",$B24),0)</f>
        <v>0</v>
      </c>
      <c r="F24" s="661">
        <f>IFERROR(GETPIVOTDATA((CONCATENATE("Sum of ", F$8)),'h4'!$A$1,"ReportingLevel","1:LA","lvl",$B24),0)</f>
        <v>0</v>
      </c>
      <c r="G24" s="83">
        <f>IFERROR(GETPIVOTDATA((CONCATENATE("Sum of ", G$8)),'h4'!$A$1,"ReportingLevel","1:LA","lvl",$B24),0)</f>
        <v>15</v>
      </c>
      <c r="H24" s="83">
        <f>IFERROR(GETPIVOTDATA((CONCATENATE("Sum of ", H$8)),'h4'!$A$1,"ReportingLevel","1:LA","lvl",$B24),0)</f>
        <v>20</v>
      </c>
      <c r="I24" s="83">
        <f>IFERROR(GETPIVOTDATA((CONCATENATE("Sum of ", I$8)),'h4'!$A$1,"ReportingLevel","1:LA","lvl",$B24),0)</f>
        <v>53</v>
      </c>
      <c r="J24" s="84">
        <f t="shared" si="1"/>
        <v>88</v>
      </c>
    </row>
    <row r="25" spans="1:10" x14ac:dyDescent="0.25">
      <c r="A25" s="578" t="s">
        <v>318</v>
      </c>
      <c r="B25" s="59" t="s">
        <v>43</v>
      </c>
      <c r="C25" s="661">
        <f>IFERROR(GETPIVOTDATA((CONCATENATE("Sum of ", C$8)),'h4'!$A$1,"ReportingLevel","1:LA","lvl",$B25),0)</f>
        <v>0</v>
      </c>
      <c r="D25" s="661">
        <f>IFERROR(GETPIVOTDATA((CONCATENATE("Sum of ", D$8)),'h4'!$A$1,"ReportingLevel","1:LA","lvl",$B25),0)</f>
        <v>0</v>
      </c>
      <c r="E25" s="661">
        <f>IFERROR(GETPIVOTDATA((CONCATENATE("Sum of ", E$8)),'h4'!$A$1,"ReportingLevel","1:LA","lvl",$B25),0)</f>
        <v>0</v>
      </c>
      <c r="F25" s="661">
        <f>IFERROR(GETPIVOTDATA((CONCATENATE("Sum of ", F$8)),'h4'!$A$1,"ReportingLevel","1:LA","lvl",$B25),0)</f>
        <v>0</v>
      </c>
      <c r="G25" s="83">
        <f>IFERROR(GETPIVOTDATA((CONCATENATE("Sum of ", G$8)),'h4'!$A$1,"ReportingLevel","1:LA","lvl",$B25),0)</f>
        <v>27</v>
      </c>
      <c r="H25" s="83">
        <f>IFERROR(GETPIVOTDATA((CONCATENATE("Sum of ", H$8)),'h4'!$A$1,"ReportingLevel","1:LA","lvl",$B25),0)</f>
        <v>48</v>
      </c>
      <c r="I25" s="83">
        <f>IFERROR(GETPIVOTDATA((CONCATENATE("Sum of ", I$8)),'h4'!$A$1,"ReportingLevel","1:LA","lvl",$B25),0)</f>
        <v>199</v>
      </c>
      <c r="J25" s="84">
        <f t="shared" si="1"/>
        <v>274</v>
      </c>
    </row>
    <row r="26" spans="1:10" x14ac:dyDescent="0.25">
      <c r="A26" s="578" t="s">
        <v>317</v>
      </c>
      <c r="B26" s="59" t="s">
        <v>124</v>
      </c>
      <c r="C26" s="661">
        <f>IFERROR(GETPIVOTDATA((CONCATENATE("Sum of ", C$8)),'h4'!$A$1,"ReportingLevel","1:LA","lvl",$B26),0)</f>
        <v>0</v>
      </c>
      <c r="D26" s="661">
        <f>IFERROR(GETPIVOTDATA((CONCATENATE("Sum of ", D$8)),'h4'!$A$1,"ReportingLevel","1:LA","lvl",$B26),0)</f>
        <v>0</v>
      </c>
      <c r="E26" s="661">
        <f>IFERROR(GETPIVOTDATA((CONCATENATE("Sum of ", E$8)),'h4'!$A$1,"ReportingLevel","1:LA","lvl",$B26),0)</f>
        <v>0</v>
      </c>
      <c r="F26" s="661">
        <f>IFERROR(GETPIVOTDATA((CONCATENATE("Sum of ", F$8)),'h4'!$A$1,"ReportingLevel","1:LA","lvl",$B26),0)</f>
        <v>0</v>
      </c>
      <c r="G26" s="83">
        <f>IFERROR(GETPIVOTDATA((CONCATENATE("Sum of ", G$8)),'h4'!$A$1,"ReportingLevel","1:LA","lvl",$B26),0)</f>
        <v>56</v>
      </c>
      <c r="H26" s="83">
        <f>IFERROR(GETPIVOTDATA((CONCATENATE("Sum of ", H$8)),'h4'!$A$1,"ReportingLevel","1:LA","lvl",$B26),0)</f>
        <v>110</v>
      </c>
      <c r="I26" s="83">
        <f>IFERROR(GETPIVOTDATA((CONCATENATE("Sum of ", I$8)),'h4'!$A$1,"ReportingLevel","1:LA","lvl",$B26),0)</f>
        <v>349</v>
      </c>
      <c r="J26" s="84">
        <f t="shared" si="1"/>
        <v>515</v>
      </c>
    </row>
    <row r="27" spans="1:10" x14ac:dyDescent="0.25">
      <c r="A27" s="578" t="s">
        <v>294</v>
      </c>
      <c r="B27" s="59" t="s">
        <v>44</v>
      </c>
      <c r="C27" s="661">
        <f>IFERROR(GETPIVOTDATA((CONCATENATE("Sum of ", C$8)),'h4'!$A$1,"ReportingLevel","1:LA","lvl",$B27),0)</f>
        <v>0</v>
      </c>
      <c r="D27" s="661">
        <f>IFERROR(GETPIVOTDATA((CONCATENATE("Sum of ", D$8)),'h4'!$A$1,"ReportingLevel","1:LA","lvl",$B27),0)</f>
        <v>0</v>
      </c>
      <c r="E27" s="661">
        <f>IFERROR(GETPIVOTDATA((CONCATENATE("Sum of ", E$8)),'h4'!$A$1,"ReportingLevel","1:LA","lvl",$B27),0)</f>
        <v>0</v>
      </c>
      <c r="F27" s="661">
        <f>IFERROR(GETPIVOTDATA((CONCATENATE("Sum of ", F$8)),'h4'!$A$1,"ReportingLevel","1:LA","lvl",$B27),0)</f>
        <v>0</v>
      </c>
      <c r="G27" s="83">
        <f>IFERROR(GETPIVOTDATA((CONCATENATE("Sum of ", G$8)),'h4'!$A$1,"ReportingLevel","1:LA","lvl",$B27),0)</f>
        <v>5</v>
      </c>
      <c r="H27" s="83">
        <f>IFERROR(GETPIVOTDATA((CONCATENATE("Sum of ", H$8)),'h4'!$A$1,"ReportingLevel","1:LA","lvl",$B27),0)</f>
        <v>15</v>
      </c>
      <c r="I27" s="83">
        <f>IFERROR(GETPIVOTDATA((CONCATENATE("Sum of ", I$8)),'h4'!$A$1,"ReportingLevel","1:LA","lvl",$B27),0)</f>
        <v>50</v>
      </c>
      <c r="J27" s="84">
        <f t="shared" si="1"/>
        <v>70</v>
      </c>
    </row>
    <row r="28" spans="1:10" x14ac:dyDescent="0.25">
      <c r="A28" s="578" t="s">
        <v>295</v>
      </c>
      <c r="B28" s="59" t="s">
        <v>45</v>
      </c>
      <c r="C28" s="661">
        <f>IFERROR(GETPIVOTDATA((CONCATENATE("Sum of ", C$8)),'h4'!$A$1,"ReportingLevel","1:LA","lvl",$B28),0)</f>
        <v>0</v>
      </c>
      <c r="D28" s="661">
        <f>IFERROR(GETPIVOTDATA((CONCATENATE("Sum of ", D$8)),'h4'!$A$1,"ReportingLevel","1:LA","lvl",$B28),0)</f>
        <v>0</v>
      </c>
      <c r="E28" s="661">
        <f>IFERROR(GETPIVOTDATA((CONCATENATE("Sum of ", E$8)),'h4'!$A$1,"ReportingLevel","1:LA","lvl",$B28),0)</f>
        <v>0</v>
      </c>
      <c r="F28" s="661">
        <f>IFERROR(GETPIVOTDATA((CONCATENATE("Sum of ", F$8)),'h4'!$A$1,"ReportingLevel","1:LA","lvl",$B28),0)</f>
        <v>0</v>
      </c>
      <c r="G28" s="83">
        <f>IFERROR(GETPIVOTDATA((CONCATENATE("Sum of ", G$8)),'h4'!$A$1,"ReportingLevel","1:LA","lvl",$B28),0)</f>
        <v>10</v>
      </c>
      <c r="H28" s="83">
        <f>IFERROR(GETPIVOTDATA((CONCATENATE("Sum of ", H$8)),'h4'!$A$1,"ReportingLevel","1:LA","lvl",$B28),0)</f>
        <v>15</v>
      </c>
      <c r="I28" s="83">
        <f>IFERROR(GETPIVOTDATA((CONCATENATE("Sum of ", I$8)),'h4'!$A$1,"ReportingLevel","1:LA","lvl",$B28),0)</f>
        <v>47</v>
      </c>
      <c r="J28" s="84">
        <f t="shared" si="1"/>
        <v>72</v>
      </c>
    </row>
    <row r="29" spans="1:10" x14ac:dyDescent="0.25">
      <c r="A29" s="578" t="s">
        <v>296</v>
      </c>
      <c r="B29" s="59" t="s">
        <v>46</v>
      </c>
      <c r="C29" s="661">
        <f>IFERROR(GETPIVOTDATA((CONCATENATE("Sum of ", C$8)),'h4'!$A$1,"ReportingLevel","1:LA","lvl",$B29),0)</f>
        <v>0</v>
      </c>
      <c r="D29" s="661">
        <f>IFERROR(GETPIVOTDATA((CONCATENATE("Sum of ", D$8)),'h4'!$A$1,"ReportingLevel","1:LA","lvl",$B29),0)</f>
        <v>0</v>
      </c>
      <c r="E29" s="661">
        <f>IFERROR(GETPIVOTDATA((CONCATENATE("Sum of ", E$8)),'h4'!$A$1,"ReportingLevel","1:LA","lvl",$B29),0)</f>
        <v>0</v>
      </c>
      <c r="F29" s="661">
        <f>IFERROR(GETPIVOTDATA((CONCATENATE("Sum of ", F$8)),'h4'!$A$1,"ReportingLevel","1:LA","lvl",$B29),0)</f>
        <v>0</v>
      </c>
      <c r="G29" s="83">
        <f>IFERROR(GETPIVOTDATA((CONCATENATE("Sum of ", G$8)),'h4'!$A$1,"ReportingLevel","1:LA","lvl",$B29),0)</f>
        <v>5</v>
      </c>
      <c r="H29" s="83">
        <f>IFERROR(GETPIVOTDATA((CONCATENATE("Sum of ", H$8)),'h4'!$A$1,"ReportingLevel","1:LA","lvl",$B29),0)</f>
        <v>4</v>
      </c>
      <c r="I29" s="83">
        <f>IFERROR(GETPIVOTDATA((CONCATENATE("Sum of ", I$8)),'h4'!$A$1,"ReportingLevel","1:LA","lvl",$B29),0)</f>
        <v>17</v>
      </c>
      <c r="J29" s="84">
        <f t="shared" si="1"/>
        <v>26</v>
      </c>
    </row>
    <row r="30" spans="1:10" x14ac:dyDescent="0.25">
      <c r="A30" s="578" t="s">
        <v>297</v>
      </c>
      <c r="B30" s="59" t="s">
        <v>47</v>
      </c>
      <c r="C30" s="661">
        <f>IFERROR(GETPIVOTDATA((CONCATENATE("Sum of ", C$8)),'h4'!$A$1,"ReportingLevel","1:LA","lvl",$B30),0)</f>
        <v>0</v>
      </c>
      <c r="D30" s="661">
        <f>IFERROR(GETPIVOTDATA((CONCATENATE("Sum of ", D$8)),'h4'!$A$1,"ReportingLevel","1:LA","lvl",$B30),0)</f>
        <v>0</v>
      </c>
      <c r="E30" s="661">
        <f>IFERROR(GETPIVOTDATA((CONCATENATE("Sum of ", E$8)),'h4'!$A$1,"ReportingLevel","1:LA","lvl",$B30),0)</f>
        <v>0</v>
      </c>
      <c r="F30" s="661">
        <f>IFERROR(GETPIVOTDATA((CONCATENATE("Sum of ", F$8)),'h4'!$A$1,"ReportingLevel","1:LA","lvl",$B30),0)</f>
        <v>0</v>
      </c>
      <c r="G30" s="83">
        <f>IFERROR(GETPIVOTDATA((CONCATENATE("Sum of ", G$8)),'h4'!$A$1,"ReportingLevel","1:LA","lvl",$B30),0)</f>
        <v>5</v>
      </c>
      <c r="H30" s="83">
        <f>IFERROR(GETPIVOTDATA((CONCATENATE("Sum of ", H$8)),'h4'!$A$1,"ReportingLevel","1:LA","lvl",$B30),0)</f>
        <v>5</v>
      </c>
      <c r="I30" s="83">
        <f>IFERROR(GETPIVOTDATA((CONCATENATE("Sum of ", I$8)),'h4'!$A$1,"ReportingLevel","1:LA","lvl",$B30),0)</f>
        <v>20</v>
      </c>
      <c r="J30" s="84">
        <f t="shared" si="1"/>
        <v>30</v>
      </c>
    </row>
    <row r="31" spans="1:10" x14ac:dyDescent="0.25">
      <c r="A31" s="578" t="s">
        <v>292</v>
      </c>
      <c r="B31" s="59" t="s">
        <v>48</v>
      </c>
      <c r="C31" s="661">
        <f>IFERROR(GETPIVOTDATA((CONCATENATE("Sum of ", C$8)),'h4'!$A$1,"ReportingLevel","1:LA","lvl",$B31),0)</f>
        <v>0</v>
      </c>
      <c r="D31" s="661">
        <f>IFERROR(GETPIVOTDATA((CONCATENATE("Sum of ", D$8)),'h4'!$A$1,"ReportingLevel","1:LA","lvl",$B31),0)</f>
        <v>0</v>
      </c>
      <c r="E31" s="661">
        <f>IFERROR(GETPIVOTDATA((CONCATENATE("Sum of ", E$8)),'h4'!$A$1,"ReportingLevel","1:LA","lvl",$B31),0)</f>
        <v>0</v>
      </c>
      <c r="F31" s="661">
        <f>IFERROR(GETPIVOTDATA((CONCATENATE("Sum of ", F$8)),'h4'!$A$1,"ReportingLevel","1:LA","lvl",$B31),0)</f>
        <v>0</v>
      </c>
      <c r="G31" s="83">
        <f>IFERROR(GETPIVOTDATA((CONCATENATE("Sum of ", G$8)),'h4'!$A$1,"ReportingLevel","1:LA","lvl",$B31),0)</f>
        <v>0</v>
      </c>
      <c r="H31" s="83">
        <f>IFERROR(GETPIVOTDATA((CONCATENATE("Sum of ", H$8)),'h4'!$A$1,"ReportingLevel","1:LA","lvl",$B31),0)</f>
        <v>0</v>
      </c>
      <c r="I31" s="83">
        <f>IFERROR(GETPIVOTDATA((CONCATENATE("Sum of ", I$8)),'h4'!$A$1,"ReportingLevel","1:LA","lvl",$B31),0)</f>
        <v>0</v>
      </c>
      <c r="J31" s="84">
        <f t="shared" si="1"/>
        <v>0</v>
      </c>
    </row>
    <row r="32" spans="1:10" x14ac:dyDescent="0.25">
      <c r="A32" s="578" t="s">
        <v>298</v>
      </c>
      <c r="B32" s="59" t="s">
        <v>49</v>
      </c>
      <c r="C32" s="661">
        <f>IFERROR(GETPIVOTDATA((CONCATENATE("Sum of ", C$8)),'h4'!$A$1,"ReportingLevel","1:LA","lvl",$B32),0)</f>
        <v>0</v>
      </c>
      <c r="D32" s="661">
        <f>IFERROR(GETPIVOTDATA((CONCATENATE("Sum of ", D$8)),'h4'!$A$1,"ReportingLevel","1:LA","lvl",$B32),0)</f>
        <v>0</v>
      </c>
      <c r="E32" s="661">
        <f>IFERROR(GETPIVOTDATA((CONCATENATE("Sum of ", E$8)),'h4'!$A$1,"ReportingLevel","1:LA","lvl",$B32),0)</f>
        <v>0</v>
      </c>
      <c r="F32" s="661">
        <f>IFERROR(GETPIVOTDATA((CONCATENATE("Sum of ", F$8)),'h4'!$A$1,"ReportingLevel","1:LA","lvl",$B32),0)</f>
        <v>0</v>
      </c>
      <c r="G32" s="83">
        <f>IFERROR(GETPIVOTDATA((CONCATENATE("Sum of ", G$8)),'h4'!$A$1,"ReportingLevel","1:LA","lvl",$B32),0)</f>
        <v>16</v>
      </c>
      <c r="H32" s="83">
        <f>IFERROR(GETPIVOTDATA((CONCATENATE("Sum of ", H$8)),'h4'!$A$1,"ReportingLevel","1:LA","lvl",$B32),0)</f>
        <v>15</v>
      </c>
      <c r="I32" s="83">
        <f>IFERROR(GETPIVOTDATA((CONCATENATE("Sum of ", I$8)),'h4'!$A$1,"ReportingLevel","1:LA","lvl",$B32),0)</f>
        <v>45</v>
      </c>
      <c r="J32" s="84">
        <f t="shared" si="1"/>
        <v>76</v>
      </c>
    </row>
    <row r="33" spans="1:10" x14ac:dyDescent="0.25">
      <c r="A33" s="578" t="s">
        <v>315</v>
      </c>
      <c r="B33" s="59" t="s">
        <v>50</v>
      </c>
      <c r="C33" s="661">
        <f>IFERROR(GETPIVOTDATA((CONCATENATE("Sum of ", C$8)),'h4'!$A$1,"ReportingLevel","1:LA","lvl",$B33),0)</f>
        <v>0</v>
      </c>
      <c r="D33" s="661">
        <f>IFERROR(GETPIVOTDATA((CONCATENATE("Sum of ", D$8)),'h4'!$A$1,"ReportingLevel","1:LA","lvl",$B33),0)</f>
        <v>0</v>
      </c>
      <c r="E33" s="661">
        <f>IFERROR(GETPIVOTDATA((CONCATENATE("Sum of ", E$8)),'h4'!$A$1,"ReportingLevel","1:LA","lvl",$B33),0)</f>
        <v>0</v>
      </c>
      <c r="F33" s="661">
        <f>IFERROR(GETPIVOTDATA((CONCATENATE("Sum of ", F$8)),'h4'!$A$1,"ReportingLevel","1:LA","lvl",$B33),0)</f>
        <v>0</v>
      </c>
      <c r="G33" s="83">
        <f>IFERROR(GETPIVOTDATA((CONCATENATE("Sum of ", G$8)),'h4'!$A$1,"ReportingLevel","1:LA","lvl",$B33),0)</f>
        <v>20</v>
      </c>
      <c r="H33" s="83">
        <f>IFERROR(GETPIVOTDATA((CONCATENATE("Sum of ", H$8)),'h4'!$A$1,"ReportingLevel","1:LA","lvl",$B33),0)</f>
        <v>35</v>
      </c>
      <c r="I33" s="83">
        <f>IFERROR(GETPIVOTDATA((CONCATENATE("Sum of ", I$8)),'h4'!$A$1,"ReportingLevel","1:LA","lvl",$B33),0)</f>
        <v>111</v>
      </c>
      <c r="J33" s="84">
        <f t="shared" si="1"/>
        <v>166</v>
      </c>
    </row>
    <row r="34" spans="1:10" x14ac:dyDescent="0.25">
      <c r="A34" s="578" t="s">
        <v>299</v>
      </c>
      <c r="B34" s="59" t="s">
        <v>51</v>
      </c>
      <c r="C34" s="661">
        <f>IFERROR(GETPIVOTDATA((CONCATENATE("Sum of ", C$8)),'h4'!$A$1,"ReportingLevel","1:LA","lvl",$B34),0)</f>
        <v>0</v>
      </c>
      <c r="D34" s="661">
        <f>IFERROR(GETPIVOTDATA((CONCATENATE("Sum of ", D$8)),'h4'!$A$1,"ReportingLevel","1:LA","lvl",$B34),0)</f>
        <v>0</v>
      </c>
      <c r="E34" s="661">
        <f>IFERROR(GETPIVOTDATA((CONCATENATE("Sum of ", E$8)),'h4'!$A$1,"ReportingLevel","1:LA","lvl",$B34),0)</f>
        <v>0</v>
      </c>
      <c r="F34" s="661">
        <f>IFERROR(GETPIVOTDATA((CONCATENATE("Sum of ", F$8)),'h4'!$A$1,"ReportingLevel","1:LA","lvl",$B34),0)</f>
        <v>0</v>
      </c>
      <c r="G34" s="83">
        <f>IFERROR(GETPIVOTDATA((CONCATENATE("Sum of ", G$8)),'h4'!$A$1,"ReportingLevel","1:LA","lvl",$B34),0)</f>
        <v>0</v>
      </c>
      <c r="H34" s="83">
        <f>IFERROR(GETPIVOTDATA((CONCATENATE("Sum of ", H$8)),'h4'!$A$1,"ReportingLevel","1:LA","lvl",$B34),0)</f>
        <v>0</v>
      </c>
      <c r="I34" s="83">
        <f>IFERROR(GETPIVOTDATA((CONCATENATE("Sum of ", I$8)),'h4'!$A$1,"ReportingLevel","1:LA","lvl",$B34),0)</f>
        <v>0</v>
      </c>
      <c r="J34" s="84">
        <f t="shared" si="1"/>
        <v>0</v>
      </c>
    </row>
    <row r="35" spans="1:10" x14ac:dyDescent="0.25">
      <c r="A35" s="578" t="s">
        <v>300</v>
      </c>
      <c r="B35" s="59" t="s">
        <v>52</v>
      </c>
      <c r="C35" s="661">
        <f>IFERROR(GETPIVOTDATA((CONCATENATE("Sum of ", C$8)),'h4'!$A$1,"ReportingLevel","1:LA","lvl",$B35),0)</f>
        <v>0</v>
      </c>
      <c r="D35" s="661">
        <f>IFERROR(GETPIVOTDATA((CONCATENATE("Sum of ", D$8)),'h4'!$A$1,"ReportingLevel","1:LA","lvl",$B35),0)</f>
        <v>0</v>
      </c>
      <c r="E35" s="661">
        <f>IFERROR(GETPIVOTDATA((CONCATENATE("Sum of ", E$8)),'h4'!$A$1,"ReportingLevel","1:LA","lvl",$B35),0)</f>
        <v>0</v>
      </c>
      <c r="F35" s="661">
        <f>IFERROR(GETPIVOTDATA((CONCATENATE("Sum of ", F$8)),'h4'!$A$1,"ReportingLevel","1:LA","lvl",$B35),0)</f>
        <v>0</v>
      </c>
      <c r="G35" s="83">
        <f>IFERROR(GETPIVOTDATA((CONCATENATE("Sum of ", G$8)),'h4'!$A$1,"ReportingLevel","1:LA","lvl",$B35),0)</f>
        <v>5</v>
      </c>
      <c r="H35" s="83">
        <f>IFERROR(GETPIVOTDATA((CONCATENATE("Sum of ", H$8)),'h4'!$A$1,"ReportingLevel","1:LA","lvl",$B35),0)</f>
        <v>10</v>
      </c>
      <c r="I35" s="83">
        <f>IFERROR(GETPIVOTDATA((CONCATENATE("Sum of ", I$8)),'h4'!$A$1,"ReportingLevel","1:LA","lvl",$B35),0)</f>
        <v>54</v>
      </c>
      <c r="J35" s="84">
        <f t="shared" si="1"/>
        <v>69</v>
      </c>
    </row>
    <row r="36" spans="1:10" x14ac:dyDescent="0.25">
      <c r="A36" s="578" t="s">
        <v>310</v>
      </c>
      <c r="B36" s="59" t="s">
        <v>53</v>
      </c>
      <c r="C36" s="661">
        <f>IFERROR(GETPIVOTDATA((CONCATENATE("Sum of ", C$8)),'h4'!$A$1,"ReportingLevel","1:LA","lvl",$B36),0)</f>
        <v>0</v>
      </c>
      <c r="D36" s="661">
        <f>IFERROR(GETPIVOTDATA((CONCATENATE("Sum of ", D$8)),'h4'!$A$1,"ReportingLevel","1:LA","lvl",$B36),0)</f>
        <v>0</v>
      </c>
      <c r="E36" s="661">
        <f>IFERROR(GETPIVOTDATA((CONCATENATE("Sum of ", E$8)),'h4'!$A$1,"ReportingLevel","1:LA","lvl",$B36),0)</f>
        <v>0</v>
      </c>
      <c r="F36" s="661">
        <f>IFERROR(GETPIVOTDATA((CONCATENATE("Sum of ", F$8)),'h4'!$A$1,"ReportingLevel","1:LA","lvl",$B36),0)</f>
        <v>0</v>
      </c>
      <c r="G36" s="83">
        <f>IFERROR(GETPIVOTDATA((CONCATENATE("Sum of ", G$8)),'h4'!$A$1,"ReportingLevel","1:LA","lvl",$B36),0)</f>
        <v>16</v>
      </c>
      <c r="H36" s="83">
        <f>IFERROR(GETPIVOTDATA((CONCATENATE("Sum of ", H$8)),'h4'!$A$1,"ReportingLevel","1:LA","lvl",$B36),0)</f>
        <v>18</v>
      </c>
      <c r="I36" s="83">
        <f>IFERROR(GETPIVOTDATA((CONCATENATE("Sum of ", I$8)),'h4'!$A$1,"ReportingLevel","1:LA","lvl",$B36),0)</f>
        <v>65</v>
      </c>
      <c r="J36" s="84">
        <f t="shared" si="1"/>
        <v>99</v>
      </c>
    </row>
    <row r="37" spans="1:10" x14ac:dyDescent="0.25">
      <c r="A37" s="578" t="s">
        <v>301</v>
      </c>
      <c r="B37" s="59" t="s">
        <v>54</v>
      </c>
      <c r="C37" s="661">
        <f>IFERROR(GETPIVOTDATA((CONCATENATE("Sum of ", C$8)),'h4'!$A$1,"ReportingLevel","1:LA","lvl",$B37),0)</f>
        <v>0</v>
      </c>
      <c r="D37" s="661">
        <f>IFERROR(GETPIVOTDATA((CONCATENATE("Sum of ", D$8)),'h4'!$A$1,"ReportingLevel","1:LA","lvl",$B37),0)</f>
        <v>0</v>
      </c>
      <c r="E37" s="661">
        <f>IFERROR(GETPIVOTDATA((CONCATENATE("Sum of ", E$8)),'h4'!$A$1,"ReportingLevel","1:LA","lvl",$B37),0)</f>
        <v>0</v>
      </c>
      <c r="F37" s="661">
        <f>IFERROR(GETPIVOTDATA((CONCATENATE("Sum of ", F$8)),'h4'!$A$1,"ReportingLevel","1:LA","lvl",$B37),0)</f>
        <v>0</v>
      </c>
      <c r="G37" s="83">
        <f>IFERROR(GETPIVOTDATA((CONCATENATE("Sum of ", G$8)),'h4'!$A$1,"ReportingLevel","1:LA","lvl",$B37),0)</f>
        <v>10</v>
      </c>
      <c r="H37" s="83">
        <f>IFERROR(GETPIVOTDATA((CONCATENATE("Sum of ", H$8)),'h4'!$A$1,"ReportingLevel","1:LA","lvl",$B37),0)</f>
        <v>10</v>
      </c>
      <c r="I37" s="83">
        <f>IFERROR(GETPIVOTDATA((CONCATENATE("Sum of ", I$8)),'h4'!$A$1,"ReportingLevel","1:LA","lvl",$B37),0)</f>
        <v>36</v>
      </c>
      <c r="J37" s="84">
        <f t="shared" si="1"/>
        <v>56</v>
      </c>
    </row>
    <row r="38" spans="1:10" x14ac:dyDescent="0.25">
      <c r="A38" s="578" t="s">
        <v>302</v>
      </c>
      <c r="B38" s="59" t="s">
        <v>55</v>
      </c>
      <c r="C38" s="661">
        <f>IFERROR(GETPIVOTDATA((CONCATENATE("Sum of ", C$8)),'h4'!$A$1,"ReportingLevel","1:LA","lvl",$B38),0)</f>
        <v>0</v>
      </c>
      <c r="D38" s="661">
        <f>IFERROR(GETPIVOTDATA((CONCATENATE("Sum of ", D$8)),'h4'!$A$1,"ReportingLevel","1:LA","lvl",$B38),0)</f>
        <v>0</v>
      </c>
      <c r="E38" s="661">
        <f>IFERROR(GETPIVOTDATA((CONCATENATE("Sum of ", E$8)),'h4'!$A$1,"ReportingLevel","1:LA","lvl",$B38),0)</f>
        <v>0</v>
      </c>
      <c r="F38" s="661">
        <f>IFERROR(GETPIVOTDATA((CONCATENATE("Sum of ", F$8)),'h4'!$A$1,"ReportingLevel","1:LA","lvl",$B38),0)</f>
        <v>0</v>
      </c>
      <c r="G38" s="83">
        <f>IFERROR(GETPIVOTDATA((CONCATENATE("Sum of ", G$8)),'h4'!$A$1,"ReportingLevel","1:LA","lvl",$B38),0)</f>
        <v>0</v>
      </c>
      <c r="H38" s="83">
        <f>IFERROR(GETPIVOTDATA((CONCATENATE("Sum of ", H$8)),'h4'!$A$1,"ReportingLevel","1:LA","lvl",$B38),0)</f>
        <v>0</v>
      </c>
      <c r="I38" s="83">
        <f>IFERROR(GETPIVOTDATA((CONCATENATE("Sum of ", I$8)),'h4'!$A$1,"ReportingLevel","1:LA","lvl",$B38),0)</f>
        <v>0</v>
      </c>
      <c r="J38" s="84">
        <v>0</v>
      </c>
    </row>
    <row r="39" spans="1:10" x14ac:dyDescent="0.25">
      <c r="A39" s="578" t="s">
        <v>303</v>
      </c>
      <c r="B39" s="59" t="s">
        <v>56</v>
      </c>
      <c r="C39" s="661">
        <f>IFERROR(GETPIVOTDATA((CONCATENATE("Sum of ", C$8)),'h4'!$A$1,"ReportingLevel","1:LA","lvl",$B39),0)</f>
        <v>0</v>
      </c>
      <c r="D39" s="661">
        <f>IFERROR(GETPIVOTDATA((CONCATENATE("Sum of ", D$8)),'h4'!$A$1,"ReportingLevel","1:LA","lvl",$B39),0)</f>
        <v>0</v>
      </c>
      <c r="E39" s="661">
        <f>IFERROR(GETPIVOTDATA((CONCATENATE("Sum of ", E$8)),'h4'!$A$1,"ReportingLevel","1:LA","lvl",$B39),0)</f>
        <v>0</v>
      </c>
      <c r="F39" s="661">
        <f>IFERROR(GETPIVOTDATA((CONCATENATE("Sum of ", F$8)),'h4'!$A$1,"ReportingLevel","1:LA","lvl",$B39),0)</f>
        <v>0</v>
      </c>
      <c r="G39" s="83">
        <f>IFERROR(GETPIVOTDATA((CONCATENATE("Sum of ", G$8)),'h4'!$A$1,"ReportingLevel","1:LA","lvl",$B39),0)</f>
        <v>5</v>
      </c>
      <c r="H39" s="83">
        <f>IFERROR(GETPIVOTDATA((CONCATENATE("Sum of ", H$8)),'h4'!$A$1,"ReportingLevel","1:LA","lvl",$B39),0)</f>
        <v>11</v>
      </c>
      <c r="I39" s="83">
        <f>IFERROR(GETPIVOTDATA((CONCATENATE("Sum of ", I$8)),'h4'!$A$1,"ReportingLevel","1:LA","lvl",$B39),0)</f>
        <v>34</v>
      </c>
      <c r="J39" s="84">
        <f>SUM(C39:I39)</f>
        <v>50</v>
      </c>
    </row>
    <row r="40" spans="1:10" x14ac:dyDescent="0.25">
      <c r="A40" s="578" t="s">
        <v>304</v>
      </c>
      <c r="B40" s="59" t="s">
        <v>57</v>
      </c>
      <c r="C40" s="661">
        <f>IFERROR(GETPIVOTDATA((CONCATENATE("Sum of ", C$8)),'h4'!$A$1,"ReportingLevel","1:LA","lvl",$B40),0)</f>
        <v>0</v>
      </c>
      <c r="D40" s="661">
        <f>IFERROR(GETPIVOTDATA((CONCATENATE("Sum of ", D$8)),'h4'!$A$1,"ReportingLevel","1:LA","lvl",$B40),0)</f>
        <v>0</v>
      </c>
      <c r="E40" s="661">
        <f>IFERROR(GETPIVOTDATA((CONCATENATE("Sum of ", E$8)),'h4'!$A$1,"ReportingLevel","1:LA","lvl",$B40),0)</f>
        <v>0</v>
      </c>
      <c r="F40" s="661">
        <f>IFERROR(GETPIVOTDATA((CONCATENATE("Sum of ", F$8)),'h4'!$A$1,"ReportingLevel","1:LA","lvl",$B40),0)</f>
        <v>0</v>
      </c>
      <c r="G40" s="83">
        <f>IFERROR(GETPIVOTDATA((CONCATENATE("Sum of ", G$8)),'h4'!$A$1,"ReportingLevel","1:LA","lvl",$B40),0)</f>
        <v>20</v>
      </c>
      <c r="H40" s="83">
        <f>IFERROR(GETPIVOTDATA((CONCATENATE("Sum of ", H$8)),'h4'!$A$1,"ReportingLevel","1:LA","lvl",$B40),0)</f>
        <v>36</v>
      </c>
      <c r="I40" s="83">
        <f>IFERROR(GETPIVOTDATA((CONCATENATE("Sum of ", I$8)),'h4'!$A$1,"ReportingLevel","1:LA","lvl",$B40),0)</f>
        <v>111</v>
      </c>
      <c r="J40" s="84">
        <f>SUM(C40:I40)</f>
        <v>167</v>
      </c>
    </row>
    <row r="41" spans="1:10" x14ac:dyDescent="0.25">
      <c r="A41" s="578" t="s">
        <v>305</v>
      </c>
      <c r="B41" s="59" t="s">
        <v>58</v>
      </c>
      <c r="C41" s="661">
        <f>IFERROR(GETPIVOTDATA((CONCATENATE("Sum of ", C$8)),'h4'!$A$1,"ReportingLevel","1:LA","lvl",$B41),0)</f>
        <v>0</v>
      </c>
      <c r="D41" s="661">
        <f>IFERROR(GETPIVOTDATA((CONCATENATE("Sum of ", D$8)),'h4'!$A$1,"ReportingLevel","1:LA","lvl",$B41),0)</f>
        <v>0</v>
      </c>
      <c r="E41" s="661">
        <f>IFERROR(GETPIVOTDATA((CONCATENATE("Sum of ", E$8)),'h4'!$A$1,"ReportingLevel","1:LA","lvl",$B41),0)</f>
        <v>0</v>
      </c>
      <c r="F41" s="661">
        <f>IFERROR(GETPIVOTDATA((CONCATENATE("Sum of ", F$8)),'h4'!$A$1,"ReportingLevel","1:LA","lvl",$B41),0)</f>
        <v>0</v>
      </c>
      <c r="G41" s="83">
        <f>IFERROR(GETPIVOTDATA((CONCATENATE("Sum of ", G$8)),'h4'!$A$1,"ReportingLevel","1:LA","lvl",$B41),0)</f>
        <v>5</v>
      </c>
      <c r="H41" s="83">
        <f>IFERROR(GETPIVOTDATA((CONCATENATE("Sum of ", H$8)),'h4'!$A$1,"ReportingLevel","1:LA","lvl",$B41),0)</f>
        <v>10</v>
      </c>
      <c r="I41" s="83">
        <f>IFERROR(GETPIVOTDATA((CONCATENATE("Sum of ", I$8)),'h4'!$A$1,"ReportingLevel","1:LA","lvl",$B41),0)</f>
        <v>34</v>
      </c>
      <c r="J41" s="84">
        <f>SUM(C41:I41)</f>
        <v>49</v>
      </c>
    </row>
    <row r="42" spans="1:10" x14ac:dyDescent="0.25">
      <c r="A42" s="578" t="s">
        <v>311</v>
      </c>
      <c r="B42" s="59" t="s">
        <v>59</v>
      </c>
      <c r="C42" s="661">
        <f>IFERROR(GETPIVOTDATA((CONCATENATE("Sum of ", C$8)),'h4'!$A$1,"ReportingLevel","1:LA","lvl",$B42),0)</f>
        <v>0</v>
      </c>
      <c r="D42" s="661">
        <f>IFERROR(GETPIVOTDATA((CONCATENATE("Sum of ", D$8)),'h4'!$A$1,"ReportingLevel","1:LA","lvl",$B42),0)</f>
        <v>0</v>
      </c>
      <c r="E42" s="661">
        <f>IFERROR(GETPIVOTDATA((CONCATENATE("Sum of ", E$8)),'h4'!$A$1,"ReportingLevel","1:LA","lvl",$B42),0)</f>
        <v>0</v>
      </c>
      <c r="F42" s="661">
        <f>IFERROR(GETPIVOTDATA((CONCATENATE("Sum of ", F$8)),'h4'!$A$1,"ReportingLevel","1:LA","lvl",$B42),0)</f>
        <v>0</v>
      </c>
      <c r="G42" s="83">
        <f>IFERROR(GETPIVOTDATA((CONCATENATE("Sum of ", G$8)),'h4'!$A$1,"ReportingLevel","1:LA","lvl",$B42),0)</f>
        <v>10</v>
      </c>
      <c r="H42" s="83">
        <f>IFERROR(GETPIVOTDATA((CONCATENATE("Sum of ", H$8)),'h4'!$A$1,"ReportingLevel","1:LA","lvl",$B42),0)</f>
        <v>15</v>
      </c>
      <c r="I42" s="83">
        <f>IFERROR(GETPIVOTDATA((CONCATENATE("Sum of ", I$8)),'h4'!$A$1,"ReportingLevel","1:LA","lvl",$B42),0)</f>
        <v>48</v>
      </c>
      <c r="J42" s="84">
        <f>SUM(C42:I42)</f>
        <v>73</v>
      </c>
    </row>
    <row r="43" spans="1:10" x14ac:dyDescent="0.25">
      <c r="A43" s="578" t="s">
        <v>312</v>
      </c>
      <c r="B43" s="59" t="s">
        <v>60</v>
      </c>
      <c r="C43" s="661">
        <f>IFERROR(GETPIVOTDATA((CONCATENATE("Sum of ", C$8)),'h4'!$A$1,"ReportingLevel","1:LA","lvl",$B43),0)</f>
        <v>0</v>
      </c>
      <c r="D43" s="661">
        <f>IFERROR(GETPIVOTDATA((CONCATENATE("Sum of ", D$8)),'h4'!$A$1,"ReportingLevel","1:LA","lvl",$B43),0)</f>
        <v>0</v>
      </c>
      <c r="E43" s="661">
        <f>IFERROR(GETPIVOTDATA((CONCATENATE("Sum of ", E$8)),'h4'!$A$1,"ReportingLevel","1:LA","lvl",$B43),0)</f>
        <v>0</v>
      </c>
      <c r="F43" s="661">
        <f>IFERROR(GETPIVOTDATA((CONCATENATE("Sum of ", F$8)),'h4'!$A$1,"ReportingLevel","1:LA","lvl",$B43),0)</f>
        <v>0</v>
      </c>
      <c r="G43" s="83">
        <f>IFERROR(GETPIVOTDATA((CONCATENATE("Sum of ", G$8)),'h4'!$A$1,"ReportingLevel","1:LA","lvl",$B43),0)</f>
        <v>10</v>
      </c>
      <c r="H43" s="83">
        <f>IFERROR(GETPIVOTDATA((CONCATENATE("Sum of ", H$8)),'h4'!$A$1,"ReportingLevel","1:LA","lvl",$B43),0)</f>
        <v>10</v>
      </c>
      <c r="I43" s="83">
        <f>IFERROR(GETPIVOTDATA((CONCATENATE("Sum of ", I$8)),'h4'!$A$1,"ReportingLevel","1:LA","lvl",$B43),0)</f>
        <v>36</v>
      </c>
      <c r="J43" s="84">
        <f>SUM(C43:I43)</f>
        <v>56</v>
      </c>
    </row>
    <row r="44" spans="1:10" ht="19.5" customHeight="1" thickBot="1" x14ac:dyDescent="0.3">
      <c r="A44" s="63"/>
      <c r="B44" s="63" t="s">
        <v>61</v>
      </c>
      <c r="C44" s="662">
        <f t="shared" ref="C44:J44" si="2">SUM(C12:C43)</f>
        <v>0</v>
      </c>
      <c r="D44" s="662">
        <f t="shared" si="2"/>
        <v>0</v>
      </c>
      <c r="E44" s="662">
        <f t="shared" si="2"/>
        <v>0</v>
      </c>
      <c r="F44" s="662">
        <f t="shared" si="2"/>
        <v>0</v>
      </c>
      <c r="G44" s="87">
        <f t="shared" si="2"/>
        <v>377</v>
      </c>
      <c r="H44" s="87">
        <f t="shared" si="2"/>
        <v>592</v>
      </c>
      <c r="I44" s="87">
        <f t="shared" si="2"/>
        <v>1985</v>
      </c>
      <c r="J44" s="87">
        <f t="shared" si="2"/>
        <v>2954</v>
      </c>
    </row>
    <row r="45" spans="1:10" x14ac:dyDescent="0.25">
      <c r="A45" s="65"/>
      <c r="B45" s="65"/>
      <c r="C45" s="88"/>
      <c r="D45" s="88"/>
      <c r="E45" s="88"/>
      <c r="F45" s="67"/>
      <c r="G45" s="67"/>
      <c r="H45" s="67"/>
      <c r="I45" s="67"/>
      <c r="J45" s="52"/>
    </row>
    <row r="46" spans="1:10" x14ac:dyDescent="0.25">
      <c r="A46" s="66" t="s">
        <v>535</v>
      </c>
      <c r="B46" s="66" t="s">
        <v>62</v>
      </c>
      <c r="C46" s="55"/>
      <c r="D46" s="55"/>
      <c r="E46" s="55"/>
      <c r="F46" s="55"/>
      <c r="G46" s="55"/>
      <c r="H46" s="55"/>
      <c r="I46" s="55"/>
      <c r="J46" s="89"/>
    </row>
    <row r="47" spans="1:10" ht="19.5" customHeight="1" x14ac:dyDescent="0.25">
      <c r="A47" s="579" t="s">
        <v>374</v>
      </c>
      <c r="B47" s="68" t="s">
        <v>31</v>
      </c>
      <c r="C47" s="660">
        <f>IFERROR(GETPIVOTDATA((CONCATENATE("Sum of ", C$8)),'h4'!$A$1,"ReportingLevel","2:LSO","lvl",$B47),0)</f>
        <v>0</v>
      </c>
      <c r="D47" s="416">
        <f>IFERROR(GETPIVOTDATA((CONCATENATE("Sum of ", D$8)),'h4'!$A$1,"ReportingLevel","2:LSO","lvl",$B47),0)</f>
        <v>1</v>
      </c>
      <c r="E47" s="416">
        <f>IFERROR(GETPIVOTDATA((CONCATENATE("Sum of ", E$8)),'h4'!$A$1,"ReportingLevel","2:LSO","lvl",$B47),0)</f>
        <v>2</v>
      </c>
      <c r="F47" s="416">
        <f>IFERROR(GETPIVOTDATA((CONCATENATE("Sum of ", F$8)),'h4'!$A$1,"ReportingLevel","2:LSO","lvl",$B47),0)</f>
        <v>4</v>
      </c>
      <c r="G47" s="416">
        <f>IFERROR(GETPIVOTDATA((CONCATENATE("Sum of ", G$8)),'h4'!$A$1,"ReportingLevel","2:LSO","lvl",$B47),0)</f>
        <v>6</v>
      </c>
      <c r="H47" s="416">
        <f>IFERROR(GETPIVOTDATA((CONCATENATE("Sum of ", H$8)),'h4'!$A$1,"ReportingLevel","2:LSO","lvl",$B47),0)</f>
        <v>2</v>
      </c>
      <c r="I47" s="416">
        <f>IFERROR(GETPIVOTDATA((CONCATENATE("Sum of ", I$8)),'h4'!$A$1,"ReportingLevel","2:LSO","lvl",$B47),0)</f>
        <v>2</v>
      </c>
      <c r="J47" s="84">
        <f t="shared" ref="J47:J63" si="3">SUM(C47:I47)</f>
        <v>17</v>
      </c>
    </row>
    <row r="48" spans="1:10" x14ac:dyDescent="0.25">
      <c r="A48" s="580" t="s">
        <v>375</v>
      </c>
      <c r="B48" s="70" t="s">
        <v>64</v>
      </c>
      <c r="C48" s="661">
        <f>IFERROR(GETPIVOTDATA((CONCATENATE("Sum of ", C$8)),'h4'!$A$1,"ReportingLevel","2:LSO","lvl",$B48),0)</f>
        <v>0</v>
      </c>
      <c r="D48" s="83">
        <f>IFERROR(GETPIVOTDATA((CONCATENATE("Sum of ", D$8)),'h4'!$A$1,"ReportingLevel","2:LSO","lvl",$B48),0)</f>
        <v>1</v>
      </c>
      <c r="E48" s="83">
        <f>IFERROR(GETPIVOTDATA((CONCATENATE("Sum of ", E$8)),'h4'!$A$1,"ReportingLevel","2:LSO","lvl",$B48),0)</f>
        <v>2</v>
      </c>
      <c r="F48" s="83">
        <f>IFERROR(GETPIVOTDATA((CONCATENATE("Sum of ", F$8)),'h4'!$A$1,"ReportingLevel","2:LSO","lvl",$B48),0)</f>
        <v>8</v>
      </c>
      <c r="G48" s="83">
        <f>IFERROR(GETPIVOTDATA((CONCATENATE("Sum of ", G$8)),'h4'!$A$1,"ReportingLevel","2:LSO","lvl",$B48),0)</f>
        <v>8</v>
      </c>
      <c r="H48" s="83">
        <f>IFERROR(GETPIVOTDATA((CONCATENATE("Sum of ", H$8)),'h4'!$A$1,"ReportingLevel","2:LSO","lvl",$B48),0)</f>
        <v>6</v>
      </c>
      <c r="I48" s="83">
        <f>IFERROR(GETPIVOTDATA((CONCATENATE("Sum of ", I$8)),'h4'!$A$1,"ReportingLevel","2:LSO","lvl",$B48),0)</f>
        <v>0</v>
      </c>
      <c r="J48" s="84">
        <f t="shared" si="3"/>
        <v>25</v>
      </c>
    </row>
    <row r="49" spans="1:10" ht="15.75" customHeight="1" x14ac:dyDescent="0.25">
      <c r="A49" s="580" t="s">
        <v>377</v>
      </c>
      <c r="B49" s="70" t="s">
        <v>65</v>
      </c>
      <c r="C49" s="661">
        <f>IFERROR(GETPIVOTDATA((CONCATENATE("Sum of ", C$8)),'h4'!$A$1,"ReportingLevel","2:LSO","lvl",$B49),0)</f>
        <v>0</v>
      </c>
      <c r="D49" s="83">
        <f>IFERROR(GETPIVOTDATA((CONCATENATE("Sum of ", D$8)),'h4'!$A$1,"ReportingLevel","2:LSO","lvl",$B49),0)</f>
        <v>1</v>
      </c>
      <c r="E49" s="83">
        <f>IFERROR(GETPIVOTDATA((CONCATENATE("Sum of ", E$8)),'h4'!$A$1,"ReportingLevel","2:LSO","lvl",$B49),0)</f>
        <v>3</v>
      </c>
      <c r="F49" s="83">
        <f>IFERROR(GETPIVOTDATA((CONCATENATE("Sum of ", F$8)),'h4'!$A$1,"ReportingLevel","2:LSO","lvl",$B49),0)</f>
        <v>8</v>
      </c>
      <c r="G49" s="83">
        <f>IFERROR(GETPIVOTDATA((CONCATENATE("Sum of ", G$8)),'h4'!$A$1,"ReportingLevel","2:LSO","lvl",$B49),0)</f>
        <v>6</v>
      </c>
      <c r="H49" s="83">
        <f>IFERROR(GETPIVOTDATA((CONCATENATE("Sum of ", H$8)),'h4'!$A$1,"ReportingLevel","2:LSO","lvl",$B49),0)</f>
        <v>6</v>
      </c>
      <c r="I49" s="83">
        <f>IFERROR(GETPIVOTDATA((CONCATENATE("Sum of ", I$8)),'h4'!$A$1,"ReportingLevel","2:LSO","lvl",$B49),0)</f>
        <v>2</v>
      </c>
      <c r="J49" s="84">
        <f t="shared" si="3"/>
        <v>26</v>
      </c>
    </row>
    <row r="50" spans="1:10" x14ac:dyDescent="0.25">
      <c r="A50" s="580" t="s">
        <v>378</v>
      </c>
      <c r="B50" s="70" t="s">
        <v>36</v>
      </c>
      <c r="C50" s="661">
        <f>IFERROR(GETPIVOTDATA((CONCATENATE("Sum of ", C$8)),'h4'!$A$1,"ReportingLevel","2:LSO","lvl",$B50),0)</f>
        <v>0</v>
      </c>
      <c r="D50" s="83">
        <f>IFERROR(GETPIVOTDATA((CONCATENATE("Sum of ", D$8)),'h4'!$A$1,"ReportingLevel","2:LSO","lvl",$B50),0)</f>
        <v>1</v>
      </c>
      <c r="E50" s="83">
        <f>IFERROR(GETPIVOTDATA((CONCATENATE("Sum of ", E$8)),'h4'!$A$1,"ReportingLevel","2:LSO","lvl",$B50),0)</f>
        <v>2</v>
      </c>
      <c r="F50" s="83">
        <f>IFERROR(GETPIVOTDATA((CONCATENATE("Sum of ", F$8)),'h4'!$A$1,"ReportingLevel","2:LSO","lvl",$B50),0)</f>
        <v>6</v>
      </c>
      <c r="G50" s="83">
        <f>IFERROR(GETPIVOTDATA((CONCATENATE("Sum of ", G$8)),'h4'!$A$1,"ReportingLevel","2:LSO","lvl",$B50),0)</f>
        <v>7</v>
      </c>
      <c r="H50" s="83">
        <f>IFERROR(GETPIVOTDATA((CONCATENATE("Sum of ", H$8)),'h4'!$A$1,"ReportingLevel","2:LSO","lvl",$B50),0)</f>
        <v>4</v>
      </c>
      <c r="I50" s="83">
        <f>IFERROR(GETPIVOTDATA((CONCATENATE("Sum of ", I$8)),'h4'!$A$1,"ReportingLevel","2:LSO","lvl",$B50),0)</f>
        <v>2</v>
      </c>
      <c r="J50" s="84">
        <f t="shared" si="3"/>
        <v>22</v>
      </c>
    </row>
    <row r="51" spans="1:10" x14ac:dyDescent="0.25">
      <c r="A51" s="580" t="s">
        <v>376</v>
      </c>
      <c r="B51" s="70" t="s">
        <v>67</v>
      </c>
      <c r="C51" s="661">
        <f>IFERROR(GETPIVOTDATA((CONCATENATE("Sum of ", C$8)),'h4'!$A$1,"ReportingLevel","2:LSO","lvl",$B51),0)</f>
        <v>0</v>
      </c>
      <c r="D51" s="83">
        <f>IFERROR(GETPIVOTDATA((CONCATENATE("Sum of ", D$8)),'h4'!$A$1,"ReportingLevel","2:LSO","lvl",$B51),0)</f>
        <v>1</v>
      </c>
      <c r="E51" s="83">
        <f>IFERROR(GETPIVOTDATA((CONCATENATE("Sum of ", E$8)),'h4'!$A$1,"ReportingLevel","2:LSO","lvl",$B51),0)</f>
        <v>4</v>
      </c>
      <c r="F51" s="83">
        <f>IFERROR(GETPIVOTDATA((CONCATENATE("Sum of ", F$8)),'h4'!$A$1,"ReportingLevel","2:LSO","lvl",$B51),0)</f>
        <v>8</v>
      </c>
      <c r="G51" s="83">
        <f>IFERROR(GETPIVOTDATA((CONCATENATE("Sum of ", G$8)),'h4'!$A$1,"ReportingLevel","2:LSO","lvl",$B51),0)</f>
        <v>11</v>
      </c>
      <c r="H51" s="83">
        <f>IFERROR(GETPIVOTDATA((CONCATENATE("Sum of ", H$8)),'h4'!$A$1,"ReportingLevel","2:LSO","lvl",$B51),0)</f>
        <v>3</v>
      </c>
      <c r="I51" s="83">
        <f>IFERROR(GETPIVOTDATA((CONCATENATE("Sum of ", I$8)),'h4'!$A$1,"ReportingLevel","2:LSO","lvl",$B51),0)</f>
        <v>2</v>
      </c>
      <c r="J51" s="84">
        <f t="shared" si="3"/>
        <v>29</v>
      </c>
    </row>
    <row r="52" spans="1:10" x14ac:dyDescent="0.25">
      <c r="A52" s="580" t="s">
        <v>379</v>
      </c>
      <c r="B52" s="70" t="s">
        <v>68</v>
      </c>
      <c r="C52" s="661">
        <f>IFERROR(GETPIVOTDATA((CONCATENATE("Sum of ", C$8)),'h4'!$A$1,"ReportingLevel","2:LSO","lvl",$B52),0)</f>
        <v>0</v>
      </c>
      <c r="D52" s="83">
        <f>IFERROR(GETPIVOTDATA((CONCATENATE("Sum of ", D$8)),'h4'!$A$1,"ReportingLevel","2:LSO","lvl",$B52),0)</f>
        <v>1</v>
      </c>
      <c r="E52" s="83">
        <f>IFERROR(GETPIVOTDATA((CONCATENATE("Sum of ", E$8)),'h4'!$A$1,"ReportingLevel","2:LSO","lvl",$B52),0)</f>
        <v>3</v>
      </c>
      <c r="F52" s="83">
        <f>IFERROR(GETPIVOTDATA((CONCATENATE("Sum of ", F$8)),'h4'!$A$1,"ReportingLevel","2:LSO","lvl",$B52),0)</f>
        <v>9</v>
      </c>
      <c r="G52" s="83">
        <f>IFERROR(GETPIVOTDATA((CONCATENATE("Sum of ", G$8)),'h4'!$A$1,"ReportingLevel","2:LSO","lvl",$B52),0)</f>
        <v>8</v>
      </c>
      <c r="H52" s="83">
        <f>IFERROR(GETPIVOTDATA((CONCATENATE("Sum of ", H$8)),'h4'!$A$1,"ReportingLevel","2:LSO","lvl",$B52),0)</f>
        <v>2</v>
      </c>
      <c r="I52" s="83">
        <f>IFERROR(GETPIVOTDATA((CONCATENATE("Sum of ", I$8)),'h4'!$A$1,"ReportingLevel","2:LSO","lvl",$B52),0)</f>
        <v>2</v>
      </c>
      <c r="J52" s="84">
        <f t="shared" si="3"/>
        <v>25</v>
      </c>
    </row>
    <row r="53" spans="1:10" x14ac:dyDescent="0.25">
      <c r="A53" s="580" t="s">
        <v>380</v>
      </c>
      <c r="B53" s="70" t="s">
        <v>69</v>
      </c>
      <c r="C53" s="661">
        <f>IFERROR(GETPIVOTDATA((CONCATENATE("Sum of ", C$8)),'h4'!$A$1,"ReportingLevel","2:LSO","lvl",$B53),0)</f>
        <v>0</v>
      </c>
      <c r="D53" s="83">
        <f>IFERROR(GETPIVOTDATA((CONCATENATE("Sum of ", D$8)),'h4'!$A$1,"ReportingLevel","2:LSO","lvl",$B53),0)</f>
        <v>1</v>
      </c>
      <c r="E53" s="83">
        <f>IFERROR(GETPIVOTDATA((CONCATENATE("Sum of ", E$8)),'h4'!$A$1,"ReportingLevel","2:LSO","lvl",$B53),0)</f>
        <v>3</v>
      </c>
      <c r="F53" s="83">
        <f>IFERROR(GETPIVOTDATA((CONCATENATE("Sum of ", F$8)),'h4'!$A$1,"ReportingLevel","2:LSO","lvl",$B53),0)</f>
        <v>7</v>
      </c>
      <c r="G53" s="83">
        <f>IFERROR(GETPIVOTDATA((CONCATENATE("Sum of ", G$8)),'h4'!$A$1,"ReportingLevel","2:LSO","lvl",$B53),0)</f>
        <v>9</v>
      </c>
      <c r="H53" s="83">
        <f>IFERROR(GETPIVOTDATA((CONCATENATE("Sum of ", H$8)),'h4'!$A$1,"ReportingLevel","2:LSO","lvl",$B53),0)</f>
        <v>2</v>
      </c>
      <c r="I53" s="83">
        <f>IFERROR(GETPIVOTDATA((CONCATENATE("Sum of ", I$8)),'h4'!$A$1,"ReportingLevel","2:LSO","lvl",$B53),0)</f>
        <v>3</v>
      </c>
      <c r="J53" s="84">
        <f t="shared" si="3"/>
        <v>25</v>
      </c>
    </row>
    <row r="54" spans="1:10" x14ac:dyDescent="0.25">
      <c r="A54" s="580" t="s">
        <v>381</v>
      </c>
      <c r="B54" s="70" t="s">
        <v>70</v>
      </c>
      <c r="C54" s="661">
        <f>IFERROR(GETPIVOTDATA((CONCATENATE("Sum of ", C$8)),'h4'!$A$1,"ReportingLevel","2:LSO","lvl",$B54),0)</f>
        <v>0</v>
      </c>
      <c r="D54" s="83">
        <f>IFERROR(GETPIVOTDATA((CONCATENATE("Sum of ", D$8)),'h4'!$A$1,"ReportingLevel","2:LSO","lvl",$B54),0)</f>
        <v>1</v>
      </c>
      <c r="E54" s="83">
        <f>IFERROR(GETPIVOTDATA((CONCATENATE("Sum of ", E$8)),'h4'!$A$1,"ReportingLevel","2:LSO","lvl",$B54),0)</f>
        <v>4</v>
      </c>
      <c r="F54" s="83">
        <f>IFERROR(GETPIVOTDATA((CONCATENATE("Sum of ", F$8)),'h4'!$A$1,"ReportingLevel","2:LSO","lvl",$B54),0)</f>
        <v>4</v>
      </c>
      <c r="G54" s="83">
        <f>IFERROR(GETPIVOTDATA((CONCATENATE("Sum of ", G$8)),'h4'!$A$1,"ReportingLevel","2:LSO","lvl",$B54),0)</f>
        <v>3</v>
      </c>
      <c r="H54" s="83">
        <f>IFERROR(GETPIVOTDATA((CONCATENATE("Sum of ", H$8)),'h4'!$A$1,"ReportingLevel","2:LSO","lvl",$B54),0)</f>
        <v>0</v>
      </c>
      <c r="I54" s="83">
        <f>IFERROR(GETPIVOTDATA((CONCATENATE("Sum of ", I$8)),'h4'!$A$1,"ReportingLevel","2:LSO","lvl",$B54),0)</f>
        <v>2</v>
      </c>
      <c r="J54" s="84">
        <f t="shared" si="3"/>
        <v>14</v>
      </c>
    </row>
    <row r="55" spans="1:10" x14ac:dyDescent="0.25">
      <c r="A55" s="580" t="s">
        <v>382</v>
      </c>
      <c r="B55" s="70" t="s">
        <v>178</v>
      </c>
      <c r="C55" s="661">
        <f>IFERROR(GETPIVOTDATA((CONCATENATE("Sum of ", C$8)),'h4'!$A$1,"ReportingLevel","2:LSO","lvl",$B55),0)</f>
        <v>0</v>
      </c>
      <c r="D55" s="83">
        <f>IFERROR(GETPIVOTDATA((CONCATENATE("Sum of ", D$8)),'h4'!$A$1,"ReportingLevel","2:LSO","lvl",$B55),0)</f>
        <v>1</v>
      </c>
      <c r="E55" s="83">
        <f>IFERROR(GETPIVOTDATA((CONCATENATE("Sum of ", E$8)),'h4'!$A$1,"ReportingLevel","2:LSO","lvl",$B55),0)</f>
        <v>5</v>
      </c>
      <c r="F55" s="83">
        <f>IFERROR(GETPIVOTDATA((CONCATENATE("Sum of ", F$8)),'h4'!$A$1,"ReportingLevel","2:LSO","lvl",$B55),0)</f>
        <v>4</v>
      </c>
      <c r="G55" s="83">
        <f>IFERROR(GETPIVOTDATA((CONCATENATE("Sum of ", G$8)),'h4'!$A$1,"ReportingLevel","2:LSO","lvl",$B55),0)</f>
        <v>12</v>
      </c>
      <c r="H55" s="83">
        <f>IFERROR(GETPIVOTDATA((CONCATENATE("Sum of ", H$8)),'h4'!$A$1,"ReportingLevel","2:LSO","lvl",$B55),0)</f>
        <v>5</v>
      </c>
      <c r="I55" s="83">
        <f>IFERROR(GETPIVOTDATA((CONCATENATE("Sum of ", I$8)),'h4'!$A$1,"ReportingLevel","2:LSO","lvl",$B55),0)</f>
        <v>3</v>
      </c>
      <c r="J55" s="84">
        <f t="shared" si="3"/>
        <v>30</v>
      </c>
    </row>
    <row r="56" spans="1:10" x14ac:dyDescent="0.25">
      <c r="A56" s="580" t="s">
        <v>383</v>
      </c>
      <c r="B56" s="70" t="s">
        <v>71</v>
      </c>
      <c r="C56" s="661">
        <f>IFERROR(GETPIVOTDATA((CONCATENATE("Sum of ", C$8)),'h4'!$A$1,"ReportingLevel","2:LSO","lvl",$B56),0)</f>
        <v>0</v>
      </c>
      <c r="D56" s="83">
        <f>IFERROR(GETPIVOTDATA((CONCATENATE("Sum of ", D$8)),'h4'!$A$1,"ReportingLevel","2:LSO","lvl",$B56),0)</f>
        <v>1</v>
      </c>
      <c r="E56" s="83">
        <f>IFERROR(GETPIVOTDATA((CONCATENATE("Sum of ", E$8)),'h4'!$A$1,"ReportingLevel","2:LSO","lvl",$B56),0)</f>
        <v>2</v>
      </c>
      <c r="F56" s="83">
        <f>IFERROR(GETPIVOTDATA((CONCATENATE("Sum of ", F$8)),'h4'!$A$1,"ReportingLevel","2:LSO","lvl",$B56),0)</f>
        <v>6</v>
      </c>
      <c r="G56" s="83">
        <f>IFERROR(GETPIVOTDATA((CONCATENATE("Sum of ", G$8)),'h4'!$A$1,"ReportingLevel","2:LSO","lvl",$B56),0)</f>
        <v>6</v>
      </c>
      <c r="H56" s="83">
        <f>IFERROR(GETPIVOTDATA((CONCATENATE("Sum of ", H$8)),'h4'!$A$1,"ReportingLevel","2:LSO","lvl",$B56),0)</f>
        <v>3</v>
      </c>
      <c r="I56" s="83">
        <f>IFERROR(GETPIVOTDATA((CONCATENATE("Sum of ", I$8)),'h4'!$A$1,"ReportingLevel","2:LSO","lvl",$B56),0)</f>
        <v>2</v>
      </c>
      <c r="J56" s="84">
        <f t="shared" si="3"/>
        <v>20</v>
      </c>
    </row>
    <row r="57" spans="1:10" x14ac:dyDescent="0.25">
      <c r="A57" s="580" t="s">
        <v>384</v>
      </c>
      <c r="B57" s="70" t="s">
        <v>43</v>
      </c>
      <c r="C57" s="661">
        <f>IFERROR(GETPIVOTDATA((CONCATENATE("Sum of ", C$8)),'h4'!$A$1,"ReportingLevel","2:LSO","lvl",$B57),0)</f>
        <v>0</v>
      </c>
      <c r="D57" s="83">
        <f>IFERROR(GETPIVOTDATA((CONCATENATE("Sum of ", D$8)),'h4'!$A$1,"ReportingLevel","2:LSO","lvl",$B57),0)</f>
        <v>0</v>
      </c>
      <c r="E57" s="83">
        <f>IFERROR(GETPIVOTDATA((CONCATENATE("Sum of ", E$8)),'h4'!$A$1,"ReportingLevel","2:LSO","lvl",$B57),0)</f>
        <v>2</v>
      </c>
      <c r="F57" s="83">
        <f>IFERROR(GETPIVOTDATA((CONCATENATE("Sum of ", F$8)),'h4'!$A$1,"ReportingLevel","2:LSO","lvl",$B57),0)</f>
        <v>6</v>
      </c>
      <c r="G57" s="83">
        <f>IFERROR(GETPIVOTDATA((CONCATENATE("Sum of ", G$8)),'h4'!$A$1,"ReportingLevel","2:LSO","lvl",$B57),0)</f>
        <v>6</v>
      </c>
      <c r="H57" s="83">
        <f>IFERROR(GETPIVOTDATA((CONCATENATE("Sum of ", H$8)),'h4'!$A$1,"ReportingLevel","2:LSO","lvl",$B57),0)</f>
        <v>0</v>
      </c>
      <c r="I57" s="83">
        <f>IFERROR(GETPIVOTDATA((CONCATENATE("Sum of ", I$8)),'h4'!$A$1,"ReportingLevel","2:LSO","lvl",$B57),0)</f>
        <v>4</v>
      </c>
      <c r="J57" s="84">
        <f t="shared" si="3"/>
        <v>18</v>
      </c>
    </row>
    <row r="58" spans="1:10" x14ac:dyDescent="0.25">
      <c r="A58" s="580" t="s">
        <v>385</v>
      </c>
      <c r="B58" s="70" t="s">
        <v>124</v>
      </c>
      <c r="C58" s="661">
        <f>IFERROR(GETPIVOTDATA((CONCATENATE("Sum of ", C$8)),'h4'!$A$1,"ReportingLevel","2:LSO","lvl",$B58),0)</f>
        <v>0</v>
      </c>
      <c r="D58" s="83">
        <f>IFERROR(GETPIVOTDATA((CONCATENATE("Sum of ", D$8)),'h4'!$A$1,"ReportingLevel","2:LSO","lvl",$B58),0)</f>
        <v>1</v>
      </c>
      <c r="E58" s="83">
        <f>IFERROR(GETPIVOTDATA((CONCATENATE("Sum of ", E$8)),'h4'!$A$1,"ReportingLevel","2:LSO","lvl",$B58),0)</f>
        <v>4</v>
      </c>
      <c r="F58" s="83">
        <f>IFERROR(GETPIVOTDATA((CONCATENATE("Sum of ", F$8)),'h4'!$A$1,"ReportingLevel","2:LSO","lvl",$B58),0)</f>
        <v>9</v>
      </c>
      <c r="G58" s="83">
        <f>IFERROR(GETPIVOTDATA((CONCATENATE("Sum of ", G$8)),'h4'!$A$1,"ReportingLevel","2:LSO","lvl",$B58),0)</f>
        <v>7</v>
      </c>
      <c r="H58" s="83">
        <f>IFERROR(GETPIVOTDATA((CONCATENATE("Sum of ", H$8)),'h4'!$A$1,"ReportingLevel","2:LSO","lvl",$B58),0)</f>
        <v>2</v>
      </c>
      <c r="I58" s="83">
        <f>IFERROR(GETPIVOTDATA((CONCATENATE("Sum of ", I$8)),'h4'!$A$1,"ReportingLevel","2:LSO","lvl",$B58),0)</f>
        <v>2</v>
      </c>
      <c r="J58" s="84">
        <f t="shared" si="3"/>
        <v>25</v>
      </c>
    </row>
    <row r="59" spans="1:10" x14ac:dyDescent="0.25">
      <c r="A59" s="580" t="s">
        <v>386</v>
      </c>
      <c r="B59" s="70" t="s">
        <v>72</v>
      </c>
      <c r="C59" s="661">
        <f>IFERROR(GETPIVOTDATA((CONCATENATE("Sum of ", C$8)),'h4'!$A$1,"ReportingLevel","2:LSO","lvl",$B59),0)</f>
        <v>0</v>
      </c>
      <c r="D59" s="83">
        <f>IFERROR(GETPIVOTDATA((CONCATENATE("Sum of ", D$8)),'h4'!$A$1,"ReportingLevel","2:LSO","lvl",$B59),0)</f>
        <v>1</v>
      </c>
      <c r="E59" s="83">
        <f>IFERROR(GETPIVOTDATA((CONCATENATE("Sum of ", E$8)),'h4'!$A$1,"ReportingLevel","2:LSO","lvl",$B59),0)</f>
        <v>4</v>
      </c>
      <c r="F59" s="83">
        <f>IFERROR(GETPIVOTDATA((CONCATENATE("Sum of ", F$8)),'h4'!$A$1,"ReportingLevel","2:LSO","lvl",$B59),0)</f>
        <v>14</v>
      </c>
      <c r="G59" s="83">
        <f>IFERROR(GETPIVOTDATA((CONCATENATE("Sum of ", G$8)),'h4'!$A$1,"ReportingLevel","2:LSO","lvl",$B59),0)</f>
        <v>16</v>
      </c>
      <c r="H59" s="83">
        <f>IFERROR(GETPIVOTDATA((CONCATENATE("Sum of ", H$8)),'h4'!$A$1,"ReportingLevel","2:LSO","lvl",$B59),0)</f>
        <v>9</v>
      </c>
      <c r="I59" s="83">
        <f>IFERROR(GETPIVOTDATA((CONCATENATE("Sum of ", I$8)),'h4'!$A$1,"ReportingLevel","2:LSO","lvl",$B59),0)</f>
        <v>1</v>
      </c>
      <c r="J59" s="84">
        <f t="shared" si="3"/>
        <v>45</v>
      </c>
    </row>
    <row r="60" spans="1:10" x14ac:dyDescent="0.25">
      <c r="A60" s="580" t="s">
        <v>387</v>
      </c>
      <c r="B60" s="70" t="s">
        <v>50</v>
      </c>
      <c r="C60" s="661">
        <f>IFERROR(GETPIVOTDATA((CONCATENATE("Sum of ", C$8)),'h4'!$A$1,"ReportingLevel","2:LSO","lvl",$B60),0)</f>
        <v>0</v>
      </c>
      <c r="D60" s="83">
        <f>IFERROR(GETPIVOTDATA((CONCATENATE("Sum of ", D$8)),'h4'!$A$1,"ReportingLevel","2:LSO","lvl",$B60),0)</f>
        <v>1</v>
      </c>
      <c r="E60" s="83">
        <f>IFERROR(GETPIVOTDATA((CONCATENATE("Sum of ", E$8)),'h4'!$A$1,"ReportingLevel","2:LSO","lvl",$B60),0)</f>
        <v>2</v>
      </c>
      <c r="F60" s="83">
        <f>IFERROR(GETPIVOTDATA((CONCATENATE("Sum of ", F$8)),'h4'!$A$1,"ReportingLevel","2:LSO","lvl",$B60),0)</f>
        <v>5</v>
      </c>
      <c r="G60" s="83">
        <f>IFERROR(GETPIVOTDATA((CONCATENATE("Sum of ", G$8)),'h4'!$A$1,"ReportingLevel","2:LSO","lvl",$B60),0)</f>
        <v>6</v>
      </c>
      <c r="H60" s="83">
        <f>IFERROR(GETPIVOTDATA((CONCATENATE("Sum of ", H$8)),'h4'!$A$1,"ReportingLevel","2:LSO","lvl",$B60),0)</f>
        <v>2</v>
      </c>
      <c r="I60" s="83">
        <f>IFERROR(GETPIVOTDATA((CONCATENATE("Sum of ", I$8)),'h4'!$A$1,"ReportingLevel","2:LSO","lvl",$B60),0)</f>
        <v>1</v>
      </c>
      <c r="J60" s="84">
        <f t="shared" si="3"/>
        <v>17</v>
      </c>
    </row>
    <row r="61" spans="1:10" x14ac:dyDescent="0.25">
      <c r="A61" s="580" t="s">
        <v>388</v>
      </c>
      <c r="B61" s="70" t="s">
        <v>57</v>
      </c>
      <c r="C61" s="661">
        <f>IFERROR(GETPIVOTDATA((CONCATENATE("Sum of ", C$8)),'h4'!$A$1,"ReportingLevel","2:LSO","lvl",$B61),0)</f>
        <v>0</v>
      </c>
      <c r="D61" s="83">
        <f>IFERROR(GETPIVOTDATA((CONCATENATE("Sum of ", D$8)),'h4'!$A$1,"ReportingLevel","2:LSO","lvl",$B61),0)</f>
        <v>1</v>
      </c>
      <c r="E61" s="83">
        <f>IFERROR(GETPIVOTDATA((CONCATENATE("Sum of ", E$8)),'h4'!$A$1,"ReportingLevel","2:LSO","lvl",$B61),0)</f>
        <v>2</v>
      </c>
      <c r="F61" s="83">
        <f>IFERROR(GETPIVOTDATA((CONCATENATE("Sum of ", F$8)),'h4'!$A$1,"ReportingLevel","2:LSO","lvl",$B61),0)</f>
        <v>6</v>
      </c>
      <c r="G61" s="83">
        <f>IFERROR(GETPIVOTDATA((CONCATENATE("Sum of ", G$8)),'h4'!$A$1,"ReportingLevel","2:LSO","lvl",$B61),0)</f>
        <v>4</v>
      </c>
      <c r="H61" s="83">
        <f>IFERROR(GETPIVOTDATA((CONCATENATE("Sum of ", H$8)),'h4'!$A$1,"ReportingLevel","2:LSO","lvl",$B61),0)</f>
        <v>2</v>
      </c>
      <c r="I61" s="83">
        <f>IFERROR(GETPIVOTDATA((CONCATENATE("Sum of ", I$8)),'h4'!$A$1,"ReportingLevel","2:LSO","lvl",$B61),0)</f>
        <v>1</v>
      </c>
      <c r="J61" s="84">
        <f t="shared" si="3"/>
        <v>16</v>
      </c>
    </row>
    <row r="62" spans="1:10" x14ac:dyDescent="0.25">
      <c r="A62" s="580" t="s">
        <v>389</v>
      </c>
      <c r="B62" s="70" t="s">
        <v>73</v>
      </c>
      <c r="C62" s="661">
        <f>IFERROR(GETPIVOTDATA((CONCATENATE("Sum of ", C$8)),'h4'!$A$1,"ReportingLevel","2:LSO","lvl",$B62),0)</f>
        <v>0</v>
      </c>
      <c r="D62" s="83">
        <f>IFERROR(GETPIVOTDATA((CONCATENATE("Sum of ", D$8)),'h4'!$A$1,"ReportingLevel","2:LSO","lvl",$B62),0)</f>
        <v>1</v>
      </c>
      <c r="E62" s="83">
        <f>IFERROR(GETPIVOTDATA((CONCATENATE("Sum of ", E$8)),'h4'!$A$1,"ReportingLevel","2:LSO","lvl",$B62),0)</f>
        <v>2</v>
      </c>
      <c r="F62" s="83">
        <f>IFERROR(GETPIVOTDATA((CONCATENATE("Sum of ", F$8)),'h4'!$A$1,"ReportingLevel","2:LSO","lvl",$B62),0)</f>
        <v>6</v>
      </c>
      <c r="G62" s="83">
        <f>IFERROR(GETPIVOTDATA((CONCATENATE("Sum of ", G$8)),'h4'!$A$1,"ReportingLevel","2:LSO","lvl",$B62),0)</f>
        <v>5</v>
      </c>
      <c r="H62" s="83">
        <f>IFERROR(GETPIVOTDATA((CONCATENATE("Sum of ", H$8)),'h4'!$A$1,"ReportingLevel","2:LSO","lvl",$B62),0)</f>
        <v>3</v>
      </c>
      <c r="I62" s="83">
        <f>IFERROR(GETPIVOTDATA((CONCATENATE("Sum of ", I$8)),'h4'!$A$1,"ReportingLevel","2:LSO","lvl",$B62),0)</f>
        <v>1</v>
      </c>
      <c r="J62" s="84">
        <f t="shared" si="3"/>
        <v>18</v>
      </c>
    </row>
    <row r="63" spans="1:10" x14ac:dyDescent="0.25">
      <c r="A63" s="580" t="s">
        <v>390</v>
      </c>
      <c r="B63" s="70" t="s">
        <v>74</v>
      </c>
      <c r="C63" s="661">
        <f>IFERROR(GETPIVOTDATA((CONCATENATE("Sum of ", C$8)),'h4'!$A$1,"ReportingLevel","2:LSO","lvl",$B63),0)</f>
        <v>0</v>
      </c>
      <c r="D63" s="83">
        <f>IFERROR(GETPIVOTDATA((CONCATENATE("Sum of ", D$8)),'h4'!$A$1,"ReportingLevel","2:LSO","lvl",$B63),0)</f>
        <v>1</v>
      </c>
      <c r="E63" s="83">
        <f>IFERROR(GETPIVOTDATA((CONCATENATE("Sum of ", E$8)),'h4'!$A$1,"ReportingLevel","2:LSO","lvl",$B63),0)</f>
        <v>3</v>
      </c>
      <c r="F63" s="83">
        <f>IFERROR(GETPIVOTDATA((CONCATENATE("Sum of ", F$8)),'h4'!$A$1,"ReportingLevel","2:LSO","lvl",$B63),0)</f>
        <v>5</v>
      </c>
      <c r="G63" s="83">
        <f>IFERROR(GETPIVOTDATA((CONCATENATE("Sum of ", G$8)),'h4'!$A$1,"ReportingLevel","2:LSO","lvl",$B63),0)</f>
        <v>4</v>
      </c>
      <c r="H63" s="83">
        <f>IFERROR(GETPIVOTDATA((CONCATENATE("Sum of ", H$8)),'h4'!$A$1,"ReportingLevel","2:LSO","lvl",$B63),0)</f>
        <v>3</v>
      </c>
      <c r="I63" s="83">
        <f>IFERROR(GETPIVOTDATA((CONCATENATE("Sum of ", I$8)),'h4'!$A$1,"ReportingLevel","2:LSO","lvl",$B63),0)</f>
        <v>0</v>
      </c>
      <c r="J63" s="84">
        <f t="shared" si="3"/>
        <v>16</v>
      </c>
    </row>
    <row r="64" spans="1:10" ht="18" customHeight="1" thickBot="1" x14ac:dyDescent="0.3">
      <c r="A64" s="71"/>
      <c r="B64" s="71" t="s">
        <v>75</v>
      </c>
      <c r="C64" s="662">
        <f t="shared" ref="C64:J64" si="4">SUM(C47:C63)</f>
        <v>0</v>
      </c>
      <c r="D64" s="87">
        <f t="shared" si="4"/>
        <v>16</v>
      </c>
      <c r="E64" s="87">
        <f t="shared" si="4"/>
        <v>49</v>
      </c>
      <c r="F64" s="87">
        <f t="shared" si="4"/>
        <v>115</v>
      </c>
      <c r="G64" s="87">
        <f t="shared" si="4"/>
        <v>124</v>
      </c>
      <c r="H64" s="87">
        <f t="shared" si="4"/>
        <v>54</v>
      </c>
      <c r="I64" s="87">
        <f t="shared" si="4"/>
        <v>30</v>
      </c>
      <c r="J64" s="87">
        <f t="shared" si="4"/>
        <v>388</v>
      </c>
    </row>
    <row r="65" spans="1:12" x14ac:dyDescent="0.25">
      <c r="A65" s="65"/>
      <c r="B65" s="65"/>
      <c r="C65" s="91"/>
      <c r="D65" s="52"/>
      <c r="E65" s="52"/>
      <c r="F65" s="52"/>
      <c r="G65" s="52"/>
      <c r="H65" s="52"/>
      <c r="I65" s="52"/>
      <c r="J65" s="52"/>
    </row>
    <row r="66" spans="1:12" x14ac:dyDescent="0.25">
      <c r="A66" s="73" t="s">
        <v>373</v>
      </c>
      <c r="B66" s="73" t="s">
        <v>15</v>
      </c>
      <c r="C66" s="54"/>
      <c r="D66" s="54"/>
      <c r="E66" s="54"/>
      <c r="F66" s="54"/>
      <c r="G66" s="54"/>
      <c r="H66" s="54"/>
      <c r="I66" s="54"/>
      <c r="J66" s="93"/>
    </row>
    <row r="67" spans="1:12" ht="21" customHeight="1" x14ac:dyDescent="0.25">
      <c r="A67" s="733" t="s">
        <v>411</v>
      </c>
      <c r="B67" s="74" t="s">
        <v>177</v>
      </c>
      <c r="C67" s="661">
        <f>IFERROR(GETPIVOTDATA((CONCATENATE("Sum of ", C$8)),'h4'!$A$1,"ReportingLevel","3:SDA","lvl",$B67),0)</f>
        <v>0</v>
      </c>
      <c r="D67" s="83">
        <f>IFERROR(GETPIVOTDATA((CONCATENATE("Sum of ", D$8)),'h4'!$A$1,"ReportingLevel","3:SDA","lvl",$B67),0)</f>
        <v>1</v>
      </c>
      <c r="E67" s="83">
        <f>IFERROR(GETPIVOTDATA((CONCATENATE("Sum of ", E$8)),'h4'!$A$1,"ReportingLevel","3:SDA","lvl",$B67),0)</f>
        <v>5</v>
      </c>
      <c r="F67" s="83">
        <f>IFERROR(GETPIVOTDATA((CONCATENATE("Sum of ", F$8)),'h4'!$A$1,"ReportingLevel","3:SDA","lvl",$B67),0)</f>
        <v>5</v>
      </c>
      <c r="G67" s="83">
        <f>IFERROR(GETPIVOTDATA((CONCATENATE("Sum of ", G$8)),'h4'!$A$1,"ReportingLevel","3:SDA","lvl",$B67),0)</f>
        <v>18</v>
      </c>
      <c r="H67" s="83">
        <f>IFERROR(GETPIVOTDATA((CONCATENATE("Sum of ", H$8)),'h4'!$A$1,"ReportingLevel","3:SDA","lvl",$B67),0)</f>
        <v>8</v>
      </c>
      <c r="I67" s="83">
        <f>IFERROR(GETPIVOTDATA((CONCATENATE("Sum of ", I$8)),'h4'!$A$1,"ReportingLevel","3:SDA","lvl",$B67),0)</f>
        <v>0</v>
      </c>
      <c r="J67" s="84">
        <f>SUM(C67:I67)</f>
        <v>37</v>
      </c>
    </row>
    <row r="68" spans="1:12" x14ac:dyDescent="0.25">
      <c r="A68" s="61" t="s">
        <v>413</v>
      </c>
      <c r="B68" s="59" t="s">
        <v>175</v>
      </c>
      <c r="C68" s="661">
        <f>IFERROR(GETPIVOTDATA((CONCATENATE("Sum of ", C$8)),'h4'!$A$1,"ReportingLevel","3:SDA","lvl",$B68),0)</f>
        <v>0</v>
      </c>
      <c r="D68" s="83">
        <f>IFERROR(GETPIVOTDATA((CONCATENATE("Sum of ", D$8)),'h4'!$A$1,"ReportingLevel","3:SDA","lvl",$B68),0)</f>
        <v>1</v>
      </c>
      <c r="E68" s="83">
        <f>IFERROR(GETPIVOTDATA((CONCATENATE("Sum of ", E$8)),'h4'!$A$1,"ReportingLevel","3:SDA","lvl",$B68),0)</f>
        <v>4</v>
      </c>
      <c r="F68" s="83">
        <f>IFERROR(GETPIVOTDATA((CONCATENATE("Sum of ", F$8)),'h4'!$A$1,"ReportingLevel","3:SDA","lvl",$B68),0)</f>
        <v>7</v>
      </c>
      <c r="G68" s="83">
        <f>IFERROR(GETPIVOTDATA((CONCATENATE("Sum of ", G$8)),'h4'!$A$1,"ReportingLevel","3:SDA","lvl",$B68),0)</f>
        <v>11</v>
      </c>
      <c r="H68" s="83">
        <f>IFERROR(GETPIVOTDATA((CONCATENATE("Sum of ", H$8)),'h4'!$A$1,"ReportingLevel","3:SDA","lvl",$B68),0)</f>
        <v>7</v>
      </c>
      <c r="I68" s="83">
        <f>IFERROR(GETPIVOTDATA((CONCATENATE("Sum of ", I$8)),'h4'!$A$1,"ReportingLevel","3:SDA","lvl",$B68),0)</f>
        <v>0</v>
      </c>
      <c r="J68" s="84">
        <f>SUM(C68:I68)</f>
        <v>30</v>
      </c>
    </row>
    <row r="69" spans="1:12" x14ac:dyDescent="0.25">
      <c r="A69" s="687" t="s">
        <v>412</v>
      </c>
      <c r="B69" s="59" t="s">
        <v>176</v>
      </c>
      <c r="C69" s="661">
        <f>IFERROR(GETPIVOTDATA((CONCATENATE("Sum of ", C$8)),'h4'!$A$1,"ReportingLevel","3:SDA","lvl",$B69),0)</f>
        <v>0</v>
      </c>
      <c r="D69" s="83">
        <f>IFERROR(GETPIVOTDATA((CONCATENATE("Sum of ", D$8)),'h4'!$A$1,"ReportingLevel","3:SDA","lvl",$B69),0)</f>
        <v>1</v>
      </c>
      <c r="E69" s="83">
        <f>IFERROR(GETPIVOTDATA((CONCATENATE("Sum of ", E$8)),'h4'!$A$1,"ReportingLevel","3:SDA","lvl",$B69),0)</f>
        <v>5</v>
      </c>
      <c r="F69" s="83">
        <f>IFERROR(GETPIVOTDATA((CONCATENATE("Sum of ", F$8)),'h4'!$A$1,"ReportingLevel","3:SDA","lvl",$B69),0)</f>
        <v>12</v>
      </c>
      <c r="G69" s="83">
        <f>IFERROR(GETPIVOTDATA((CONCATENATE("Sum of ", G$8)),'h4'!$A$1,"ReportingLevel","3:SDA","lvl",$B69),0)</f>
        <v>35</v>
      </c>
      <c r="H69" s="83">
        <f>IFERROR(GETPIVOTDATA((CONCATENATE("Sum of ", H$8)),'h4'!$A$1,"ReportingLevel","3:SDA","lvl",$B69),0)</f>
        <v>26</v>
      </c>
      <c r="I69" s="83">
        <f>IFERROR(GETPIVOTDATA((CONCATENATE("Sum of ", I$8)),'h4'!$A$1,"ReportingLevel","3:SDA","lvl",$B69),0)</f>
        <v>0</v>
      </c>
      <c r="J69" s="84">
        <f>SUM(C69:I69)</f>
        <v>79</v>
      </c>
    </row>
    <row r="70" spans="1:12" ht="18.75" customHeight="1" thickBot="1" x14ac:dyDescent="0.3">
      <c r="A70" s="76"/>
      <c r="B70" s="76" t="s">
        <v>80</v>
      </c>
      <c r="C70" s="662">
        <f>SUM(C67:C69)</f>
        <v>0</v>
      </c>
      <c r="D70" s="87">
        <f t="shared" ref="D70:J70" si="5">SUM(D67:D69)</f>
        <v>3</v>
      </c>
      <c r="E70" s="87">
        <f t="shared" si="5"/>
        <v>14</v>
      </c>
      <c r="F70" s="87">
        <f t="shared" si="5"/>
        <v>24</v>
      </c>
      <c r="G70" s="87">
        <f t="shared" si="5"/>
        <v>64</v>
      </c>
      <c r="H70" s="87">
        <f t="shared" si="5"/>
        <v>41</v>
      </c>
      <c r="I70" s="87">
        <f t="shared" si="5"/>
        <v>0</v>
      </c>
      <c r="J70" s="87">
        <f t="shared" si="5"/>
        <v>146</v>
      </c>
    </row>
    <row r="71" spans="1:12" x14ac:dyDescent="0.25">
      <c r="A71" s="73" t="s">
        <v>532</v>
      </c>
      <c r="B71" s="65"/>
      <c r="C71" s="55"/>
      <c r="D71" s="55"/>
      <c r="E71" s="55"/>
      <c r="F71" s="55"/>
      <c r="G71" s="55"/>
      <c r="H71" s="55"/>
      <c r="I71" s="55"/>
      <c r="J71" s="82"/>
    </row>
    <row r="72" spans="1:12" ht="15.75" thickBot="1" x14ac:dyDescent="0.3">
      <c r="A72" s="987" t="s">
        <v>391</v>
      </c>
      <c r="B72" s="95" t="s">
        <v>81</v>
      </c>
      <c r="C72" s="417">
        <f>IFERROR(GETPIVOTDATA((CONCATENATE("Sum of ", C$8)),'h4'!$A$1,"ReportingLevel","4:National","lvl","Scotland"),0)</f>
        <v>4</v>
      </c>
      <c r="D72" s="417">
        <f>IFERROR(GETPIVOTDATA((CONCATENATE("Sum of ", D$8)),'h4'!$A$1,"ReportingLevel","4:National","lvl","Scotland"),0)</f>
        <v>14</v>
      </c>
      <c r="E72" s="417">
        <f>IFERROR(GETPIVOTDATA((CONCATENATE("Sum of ", E$8)),'h4'!$A$1,"ReportingLevel","4:National","lvl","Scotland"),0)</f>
        <v>17</v>
      </c>
      <c r="F72" s="417">
        <f>IFERROR(GETPIVOTDATA((CONCATENATE("Sum of ", F$8)),'h4'!$A$1,"ReportingLevel","4:National","lvl","Scotland"),0)</f>
        <v>8</v>
      </c>
      <c r="G72" s="417">
        <f>IFERROR(GETPIVOTDATA((CONCATENATE("Sum of ", G$8)),'h4'!$A$1,"ReportingLevel","4:National","lvl","Scotland"),0)</f>
        <v>46</v>
      </c>
      <c r="H72" s="417">
        <f>IFERROR(GETPIVOTDATA((CONCATENATE("Sum of ", H$8)),'h4'!$A$1,"ReportingLevel","4:National","lvl","Scotland"),0)</f>
        <v>0</v>
      </c>
      <c r="I72" s="417">
        <f>IFERROR(GETPIVOTDATA((CONCATENATE("Sum of ", I$8)),'h4'!$A$1,"ReportingLevel","4:National","lvl","Scotland"),0)</f>
        <v>60</v>
      </c>
      <c r="J72" s="87">
        <f>SUM(C72:I72)</f>
        <v>149</v>
      </c>
    </row>
    <row r="74" spans="1:12" x14ac:dyDescent="0.25">
      <c r="A74" s="512" t="s">
        <v>8</v>
      </c>
      <c r="B74" s="513"/>
      <c r="C74" s="513"/>
      <c r="D74" s="513"/>
      <c r="E74" s="513"/>
      <c r="F74" s="513"/>
      <c r="G74" s="513"/>
      <c r="H74" s="513"/>
      <c r="I74" s="513"/>
    </row>
    <row r="75" spans="1:12" ht="27.75" customHeight="1" x14ac:dyDescent="0.25">
      <c r="A75" s="1006" t="s">
        <v>1062</v>
      </c>
      <c r="B75" s="1006"/>
      <c r="C75" s="1006"/>
      <c r="D75" s="1006"/>
      <c r="E75" s="1006"/>
      <c r="F75" s="1006"/>
      <c r="G75" s="1006"/>
      <c r="H75" s="1006"/>
      <c r="I75" s="1006"/>
      <c r="J75" s="1006"/>
    </row>
    <row r="76" spans="1:12" x14ac:dyDescent="0.25">
      <c r="A76" s="509" t="s">
        <v>235</v>
      </c>
      <c r="B76" s="501"/>
      <c r="C76" s="510"/>
      <c r="D76" s="629"/>
      <c r="E76" s="629"/>
      <c r="F76" s="629"/>
      <c r="G76" s="629"/>
      <c r="H76" s="629"/>
      <c r="I76" s="629"/>
    </row>
    <row r="77" spans="1:12" x14ac:dyDescent="0.25">
      <c r="A77" s="556" t="s">
        <v>835</v>
      </c>
      <c r="B77" s="633"/>
      <c r="C77" s="633"/>
      <c r="D77" s="633"/>
      <c r="E77" s="633"/>
      <c r="F77" s="633"/>
      <c r="G77" s="633"/>
      <c r="H77" s="633"/>
      <c r="I77" s="633"/>
      <c r="K77" s="551"/>
      <c r="L77" s="551"/>
    </row>
    <row r="78" spans="1:12" x14ac:dyDescent="0.25">
      <c r="A78" s="509" t="s">
        <v>836</v>
      </c>
      <c r="B78" s="485"/>
      <c r="C78" s="485"/>
      <c r="D78" s="485"/>
      <c r="E78" s="485"/>
      <c r="F78" s="485"/>
      <c r="G78" s="485"/>
      <c r="H78" s="485"/>
      <c r="I78" s="485"/>
    </row>
    <row r="79" spans="1:12" x14ac:dyDescent="0.25">
      <c r="B79" s="485"/>
      <c r="C79" s="485"/>
      <c r="D79" s="485"/>
      <c r="E79" s="485"/>
      <c r="F79" s="485"/>
      <c r="G79" s="485"/>
      <c r="H79" s="485"/>
      <c r="I79" s="485"/>
      <c r="J79" s="485"/>
    </row>
    <row r="80" spans="1:12" x14ac:dyDescent="0.25">
      <c r="B80" s="485"/>
      <c r="C80" s="485"/>
      <c r="D80" s="485"/>
      <c r="E80" s="485"/>
      <c r="F80" s="485"/>
      <c r="G80" s="485"/>
      <c r="H80" s="485"/>
      <c r="I80" s="485"/>
      <c r="J80" s="485"/>
    </row>
  </sheetData>
  <sheetProtection algorithmName="SHA-512" hashValue="sVsvmnjrD7C8k8EZneQElQA4zp+v8lLPVv1Z9wjbU75/MN0Ar9dmxhE32UvW5QQEq6CFlfq/DA6ThSuSA+z/Vg==" saltValue="jNprvh2c0i+bbva3iNF39Q==" spinCount="100000" sheet="1" autoFilter="0" pivotTables="0"/>
  <mergeCells count="3">
    <mergeCell ref="A1:H1"/>
    <mergeCell ref="A4:J4"/>
    <mergeCell ref="A75:J75"/>
  </mergeCells>
  <hyperlinks>
    <hyperlink ref="A2" location="'Table of Contents'!A1" display="Back to Table of Contents"/>
  </hyperlinks>
  <pageMargins left="0.70866141732283472" right="0.70866141732283472" top="0.74803149606299213" bottom="0.74803149606299213" header="0.31496062992125984" footer="0.31496062992125984"/>
  <pageSetup scale="55" orientation="portrait" r:id="rId1"/>
  <drawing r:id="rId2"/>
  <extLst>
    <ext xmlns:x14="http://schemas.microsoft.com/office/spreadsheetml/2009/9/main" uri="{A8765BA9-456A-4dab-B4F3-ACF838C121DE}">
      <x14:slicerList>
        <x14:slicer r:id="rId3"/>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pageSetUpPr fitToPage="1"/>
  </sheetPr>
  <dimension ref="A1:I53"/>
  <sheetViews>
    <sheetView showGridLines="0" zoomScaleNormal="100" workbookViewId="0">
      <pane ySplit="2" topLeftCell="A3" activePane="bottomLeft" state="frozen"/>
      <selection sqref="A1:C1"/>
      <selection pane="bottomLeft" sqref="A1:G1"/>
    </sheetView>
  </sheetViews>
  <sheetFormatPr defaultRowHeight="15" x14ac:dyDescent="0.25"/>
  <cols>
    <col min="1" max="1" width="17" bestFit="1" customWidth="1"/>
    <col min="2" max="2" width="34.7109375" customWidth="1"/>
    <col min="3" max="5" width="13" customWidth="1"/>
    <col min="6" max="6" width="12.7109375" customWidth="1"/>
  </cols>
  <sheetData>
    <row r="1" spans="1:9" ht="15.75" x14ac:dyDescent="0.25">
      <c r="A1" s="993" t="s">
        <v>523</v>
      </c>
      <c r="B1" s="993"/>
      <c r="C1" s="993"/>
      <c r="D1" s="993"/>
      <c r="E1" s="993"/>
      <c r="F1" s="993"/>
      <c r="G1" s="993"/>
      <c r="H1" s="31"/>
      <c r="I1" s="31"/>
    </row>
    <row r="2" spans="1:9" ht="18" x14ac:dyDescent="0.25">
      <c r="A2" s="790" t="s">
        <v>598</v>
      </c>
      <c r="B2" s="1"/>
      <c r="C2" s="1"/>
      <c r="D2" s="1"/>
      <c r="E2" s="1"/>
      <c r="F2" s="1"/>
      <c r="G2" s="1"/>
      <c r="H2" s="31"/>
      <c r="I2" s="31"/>
    </row>
    <row r="3" spans="1:9" ht="18" x14ac:dyDescent="0.25">
      <c r="A3" s="1"/>
      <c r="B3" s="1"/>
      <c r="C3" s="1"/>
      <c r="D3" s="1"/>
      <c r="E3" s="1"/>
      <c r="F3" s="1"/>
      <c r="G3" s="1"/>
      <c r="H3" s="31"/>
      <c r="I3" s="31"/>
    </row>
    <row r="4" spans="1:9" ht="30.75" customHeight="1" x14ac:dyDescent="0.25">
      <c r="A4" s="1004" t="s">
        <v>553</v>
      </c>
      <c r="B4" s="1004"/>
      <c r="C4" s="1004"/>
      <c r="D4" s="1004"/>
      <c r="E4" s="1004"/>
      <c r="F4" s="1004"/>
    </row>
    <row r="5" spans="1:9" ht="15" customHeight="1" x14ac:dyDescent="0.25">
      <c r="A5" t="s">
        <v>368</v>
      </c>
      <c r="B5" t="s">
        <v>758</v>
      </c>
      <c r="C5" s="631"/>
      <c r="D5" s="631"/>
      <c r="E5" s="631"/>
      <c r="F5" s="631"/>
    </row>
    <row r="6" spans="1:9" ht="15" customHeight="1" x14ac:dyDescent="0.25">
      <c r="A6" t="s">
        <v>369</v>
      </c>
      <c r="B6" t="s">
        <v>371</v>
      </c>
      <c r="C6" s="631"/>
      <c r="D6" s="631"/>
      <c r="E6" s="631"/>
      <c r="F6" s="631"/>
    </row>
    <row r="7" spans="1:9" ht="15" customHeight="1" x14ac:dyDescent="0.25">
      <c r="A7" t="s">
        <v>370</v>
      </c>
      <c r="B7" t="s">
        <v>372</v>
      </c>
      <c r="C7" s="631"/>
      <c r="D7" s="631"/>
      <c r="E7" s="631"/>
      <c r="F7" s="631"/>
    </row>
    <row r="8" spans="1:9" ht="33.75" customHeight="1" x14ac:dyDescent="0.25">
      <c r="B8" s="47" t="s">
        <v>222</v>
      </c>
      <c r="C8" s="98" t="s">
        <v>21</v>
      </c>
      <c r="D8" s="98" t="s">
        <v>22</v>
      </c>
      <c r="E8" s="98" t="s">
        <v>23</v>
      </c>
      <c r="F8" s="98" t="s">
        <v>26</v>
      </c>
    </row>
    <row r="9" spans="1:9" ht="22.5" customHeight="1" thickBot="1" x14ac:dyDescent="0.3">
      <c r="B9" s="49" t="s">
        <v>82</v>
      </c>
      <c r="C9" s="400">
        <f>C44</f>
        <v>279</v>
      </c>
      <c r="D9" s="400">
        <f>D44</f>
        <v>533</v>
      </c>
      <c r="E9" s="400">
        <f>E44</f>
        <v>2141</v>
      </c>
      <c r="F9" s="400">
        <f>F44</f>
        <v>2953</v>
      </c>
    </row>
    <row r="10" spans="1:9" ht="15" customHeight="1" x14ac:dyDescent="0.25">
      <c r="B10" s="50"/>
      <c r="C10" s="395"/>
      <c r="D10" s="395"/>
      <c r="E10" s="395"/>
      <c r="F10" s="395"/>
    </row>
    <row r="11" spans="1:9" ht="13.5" customHeight="1" x14ac:dyDescent="0.25">
      <c r="A11" s="53" t="s">
        <v>534</v>
      </c>
      <c r="B11" s="53" t="s">
        <v>30</v>
      </c>
      <c r="C11" s="401"/>
      <c r="D11" s="401"/>
      <c r="E11" s="401"/>
      <c r="F11" s="401"/>
    </row>
    <row r="12" spans="1:9" ht="24" customHeight="1" x14ac:dyDescent="0.25">
      <c r="A12" s="577" t="s">
        <v>306</v>
      </c>
      <c r="B12" s="56" t="s">
        <v>31</v>
      </c>
      <c r="C12" s="60">
        <f>IFERROR(GETPIVOTDATA((CONCATENATE("Sum of ", C$8)),h4b!$A$1,"ReportingLevel","1:LA","lvl",$B12),0)</f>
        <v>1</v>
      </c>
      <c r="D12" s="60">
        <f>IFERROR(GETPIVOTDATA((CONCATENATE("Sum of ", D$8)),h4b!$A$1,"ReportingLevel","1:LA","lvl",$B12),0)</f>
        <v>3</v>
      </c>
      <c r="E12" s="60">
        <f>IFERROR(GETPIVOTDATA((CONCATENATE("Sum of ", E$8)),h4b!$A$1,"ReportingLevel","1:LA","lvl",$B12),0)</f>
        <v>5</v>
      </c>
      <c r="F12" s="370">
        <f>SUM(C12:E12)</f>
        <v>9</v>
      </c>
    </row>
    <row r="13" spans="1:9" ht="15" customHeight="1" x14ac:dyDescent="0.25">
      <c r="A13" s="578" t="s">
        <v>307</v>
      </c>
      <c r="B13" s="59" t="s">
        <v>32</v>
      </c>
      <c r="C13" s="60">
        <f>IFERROR(GETPIVOTDATA((CONCATENATE("Sum of ", C$8)),h4b!$A$1,"ReportingLevel","1:LA","lvl",$B13),0)</f>
        <v>25</v>
      </c>
      <c r="D13" s="60">
        <f>IFERROR(GETPIVOTDATA((CONCATENATE("Sum of ", D$8)),h4b!$A$1,"ReportingLevel","1:LA","lvl",$B13),0)</f>
        <v>69</v>
      </c>
      <c r="E13" s="60">
        <f>IFERROR(GETPIVOTDATA((CONCATENATE("Sum of ", E$8)),h4b!$A$1,"ReportingLevel","1:LA","lvl",$B13),0)</f>
        <v>191</v>
      </c>
      <c r="F13" s="370">
        <f t="shared" ref="F13:F21" si="0">SUM(C13:E13)</f>
        <v>285</v>
      </c>
    </row>
    <row r="14" spans="1:9" ht="15" customHeight="1" x14ac:dyDescent="0.25">
      <c r="A14" s="578" t="s">
        <v>313</v>
      </c>
      <c r="B14" s="59" t="s">
        <v>33</v>
      </c>
      <c r="C14" s="60">
        <f>IFERROR(GETPIVOTDATA((CONCATENATE("Sum of ", C$8)),h4b!$A$1,"ReportingLevel","1:LA","lvl",$B14),0)</f>
        <v>6</v>
      </c>
      <c r="D14" s="60">
        <f>IFERROR(GETPIVOTDATA((CONCATENATE("Sum of ", D$8)),h4b!$A$1,"ReportingLevel","1:LA","lvl",$B14),0)</f>
        <v>14</v>
      </c>
      <c r="E14" s="60">
        <f>IFERROR(GETPIVOTDATA((CONCATENATE("Sum of ", E$8)),h4b!$A$1,"ReportingLevel","1:LA","lvl",$B14),0)</f>
        <v>78</v>
      </c>
      <c r="F14" s="370">
        <f t="shared" si="0"/>
        <v>98</v>
      </c>
    </row>
    <row r="15" spans="1:9" ht="15" customHeight="1" x14ac:dyDescent="0.25">
      <c r="A15" s="578" t="s">
        <v>308</v>
      </c>
      <c r="B15" s="59" t="s">
        <v>34</v>
      </c>
      <c r="C15" s="60">
        <f>IFERROR(GETPIVOTDATA((CONCATENATE("Sum of ", C$8)),h4b!$A$1,"ReportingLevel","1:LA","lvl",$B15),0)</f>
        <v>15</v>
      </c>
      <c r="D15" s="60">
        <f>IFERROR(GETPIVOTDATA((CONCATENATE("Sum of ", D$8)),h4b!$A$1,"ReportingLevel","1:LA","lvl",$B15),0)</f>
        <v>25</v>
      </c>
      <c r="E15" s="60">
        <f>IFERROR(GETPIVOTDATA((CONCATENATE("Sum of ", E$8)),h4b!$A$1,"ReportingLevel","1:LA","lvl",$B15),0)</f>
        <v>137</v>
      </c>
      <c r="F15" s="370">
        <f t="shared" si="0"/>
        <v>177</v>
      </c>
    </row>
    <row r="16" spans="1:9" ht="15" customHeight="1" x14ac:dyDescent="0.25">
      <c r="A16" s="578" t="s">
        <v>309</v>
      </c>
      <c r="B16" s="59" t="s">
        <v>262</v>
      </c>
      <c r="C16" s="60">
        <f>IFERROR(GETPIVOTDATA((CONCATENATE("Sum of ", C$8)),h4b!$A$1,"ReportingLevel","1:LA","lvl",$B16),0)</f>
        <v>0</v>
      </c>
      <c r="D16" s="60">
        <f>IFERROR(GETPIVOTDATA((CONCATENATE("Sum of ", D$8)),h4b!$A$1,"ReportingLevel","1:LA","lvl",$B16),0)</f>
        <v>2</v>
      </c>
      <c r="E16" s="60">
        <f>IFERROR(GETPIVOTDATA((CONCATENATE("Sum of ", E$8)),h4b!$A$1,"ReportingLevel","1:LA","lvl",$B16),0)</f>
        <v>7</v>
      </c>
      <c r="F16" s="370">
        <f t="shared" si="0"/>
        <v>9</v>
      </c>
    </row>
    <row r="17" spans="1:6" ht="15" customHeight="1" x14ac:dyDescent="0.25">
      <c r="A17" s="578" t="s">
        <v>287</v>
      </c>
      <c r="B17" s="59" t="s">
        <v>35</v>
      </c>
      <c r="C17" s="60">
        <f>IFERROR(GETPIVOTDATA((CONCATENATE("Sum of ", C$8)),h4b!$A$1,"ReportingLevel","1:LA","lvl",$B17),0)</f>
        <v>2</v>
      </c>
      <c r="D17" s="60">
        <f>IFERROR(GETPIVOTDATA((CONCATENATE("Sum of ", D$8)),h4b!$A$1,"ReportingLevel","1:LA","lvl",$B17),0)</f>
        <v>4</v>
      </c>
      <c r="E17" s="60">
        <f>IFERROR(GETPIVOTDATA((CONCATENATE("Sum of ", E$8)),h4b!$A$1,"ReportingLevel","1:LA","lvl",$B17),0)</f>
        <v>14</v>
      </c>
      <c r="F17" s="370">
        <f t="shared" si="0"/>
        <v>20</v>
      </c>
    </row>
    <row r="18" spans="1:6" ht="15" customHeight="1" x14ac:dyDescent="0.25">
      <c r="A18" s="578" t="s">
        <v>288</v>
      </c>
      <c r="B18" s="59" t="s">
        <v>36</v>
      </c>
      <c r="C18" s="60">
        <f>IFERROR(GETPIVOTDATA((CONCATENATE("Sum of ", C$8)),h4b!$A$1,"ReportingLevel","1:LA","lvl",$B18),0)</f>
        <v>18</v>
      </c>
      <c r="D18" s="60">
        <f>IFERROR(GETPIVOTDATA((CONCATENATE("Sum of ", D$8)),h4b!$A$1,"ReportingLevel","1:LA","lvl",$B18),0)</f>
        <v>34</v>
      </c>
      <c r="E18" s="60">
        <f>IFERROR(GETPIVOTDATA((CONCATENATE("Sum of ", E$8)),h4b!$A$1,"ReportingLevel","1:LA","lvl",$B18),0)</f>
        <v>147</v>
      </c>
      <c r="F18" s="370">
        <f t="shared" si="0"/>
        <v>199</v>
      </c>
    </row>
    <row r="19" spans="1:6" ht="15" customHeight="1" x14ac:dyDescent="0.25">
      <c r="A19" s="578" t="s">
        <v>314</v>
      </c>
      <c r="B19" s="59" t="s">
        <v>37</v>
      </c>
      <c r="C19" s="60">
        <f>IFERROR(GETPIVOTDATA((CONCATENATE("Sum of ", C$8)),h4b!$A$1,"ReportingLevel","1:LA","lvl",$B19),0)</f>
        <v>1</v>
      </c>
      <c r="D19" s="60">
        <f>IFERROR(GETPIVOTDATA((CONCATENATE("Sum of ", D$8)),h4b!$A$1,"ReportingLevel","1:LA","lvl",$B19),0)</f>
        <v>2</v>
      </c>
      <c r="E19" s="60">
        <f>IFERROR(GETPIVOTDATA((CONCATENATE("Sum of ", E$8)),h4b!$A$1,"ReportingLevel","1:LA","lvl",$B19),0)</f>
        <v>9</v>
      </c>
      <c r="F19" s="370">
        <f t="shared" si="0"/>
        <v>12</v>
      </c>
    </row>
    <row r="20" spans="1:6" ht="15" customHeight="1" x14ac:dyDescent="0.25">
      <c r="A20" s="578" t="s">
        <v>289</v>
      </c>
      <c r="B20" s="59" t="s">
        <v>38</v>
      </c>
      <c r="C20" s="60">
        <f>IFERROR(GETPIVOTDATA((CONCATENATE("Sum of ", C$8)),h4b!$A$1,"ReportingLevel","1:LA","lvl",$B20),0)</f>
        <v>5</v>
      </c>
      <c r="D20" s="60">
        <f>IFERROR(GETPIVOTDATA((CONCATENATE("Sum of ", D$8)),h4b!$A$1,"ReportingLevel","1:LA","lvl",$B20),0)</f>
        <v>10</v>
      </c>
      <c r="E20" s="60">
        <f>IFERROR(GETPIVOTDATA((CONCATENATE("Sum of ", E$8)),h4b!$A$1,"ReportingLevel","1:LA","lvl",$B20),0)</f>
        <v>62</v>
      </c>
      <c r="F20" s="370">
        <f t="shared" si="0"/>
        <v>77</v>
      </c>
    </row>
    <row r="21" spans="1:6" ht="15" customHeight="1" x14ac:dyDescent="0.25">
      <c r="A21" s="578" t="s">
        <v>316</v>
      </c>
      <c r="B21" s="59" t="s">
        <v>39</v>
      </c>
      <c r="C21" s="60">
        <f>IFERROR(GETPIVOTDATA((CONCATENATE("Sum of ", C$8)),h4b!$A$1,"ReportingLevel","1:LA","lvl",$B21),0)</f>
        <v>0</v>
      </c>
      <c r="D21" s="60">
        <f>IFERROR(GETPIVOTDATA((CONCATENATE("Sum of ", D$8)),h4b!$A$1,"ReportingLevel","1:LA","lvl",$B21),0)</f>
        <v>0</v>
      </c>
      <c r="E21" s="60">
        <f>IFERROR(GETPIVOTDATA((CONCATENATE("Sum of ", E$8)),h4b!$A$1,"ReportingLevel","1:LA","lvl",$B21),0)</f>
        <v>0</v>
      </c>
      <c r="F21" s="370">
        <f t="shared" si="0"/>
        <v>0</v>
      </c>
    </row>
    <row r="22" spans="1:6" ht="15" customHeight="1" x14ac:dyDescent="0.25">
      <c r="A22" s="578" t="s">
        <v>290</v>
      </c>
      <c r="B22" s="59" t="s">
        <v>40</v>
      </c>
      <c r="C22" s="60">
        <f>IFERROR(GETPIVOTDATA((CONCATENATE("Sum of ", C$8)),h4b!$A$1,"ReportingLevel","1:LA","lvl",$B22),0)</f>
        <v>6</v>
      </c>
      <c r="D22" s="60">
        <f>IFERROR(GETPIVOTDATA((CONCATENATE("Sum of ", D$8)),h4b!$A$1,"ReportingLevel","1:LA","lvl",$B22),0)</f>
        <v>12</v>
      </c>
      <c r="E22" s="60">
        <f>IFERROR(GETPIVOTDATA((CONCATENATE("Sum of ", E$8)),h4b!$A$1,"ReportingLevel","1:LA","lvl",$B22),0)</f>
        <v>45</v>
      </c>
      <c r="F22" s="370">
        <f>SUM(C22:E22)</f>
        <v>63</v>
      </c>
    </row>
    <row r="23" spans="1:6" ht="15" customHeight="1" x14ac:dyDescent="0.25">
      <c r="A23" s="578" t="s">
        <v>291</v>
      </c>
      <c r="B23" s="59" t="s">
        <v>41</v>
      </c>
      <c r="C23" s="60">
        <f>IFERROR(GETPIVOTDATA((CONCATENATE("Sum of ", C$8)),h4b!$A$1,"ReportingLevel","1:LA","lvl",$B23),0)</f>
        <v>0</v>
      </c>
      <c r="D23" s="60">
        <f>IFERROR(GETPIVOTDATA((CONCATENATE("Sum of ", D$8)),h4b!$A$1,"ReportingLevel","1:LA","lvl",$B23),0)</f>
        <v>0</v>
      </c>
      <c r="E23" s="60">
        <f>IFERROR(GETPIVOTDATA((CONCATENATE("Sum of ", E$8)),h4b!$A$1,"ReportingLevel","1:LA","lvl",$B23),0)</f>
        <v>0</v>
      </c>
      <c r="F23" s="370">
        <f t="shared" ref="F23" si="1">SUM(C23:E23)</f>
        <v>0</v>
      </c>
    </row>
    <row r="24" spans="1:6" ht="15" customHeight="1" x14ac:dyDescent="0.25">
      <c r="A24" s="578" t="s">
        <v>293</v>
      </c>
      <c r="B24" s="59" t="s">
        <v>42</v>
      </c>
      <c r="C24" s="60">
        <f>IFERROR(GETPIVOTDATA((CONCATENATE("Sum of ", C$8)),h4b!$A$1,"ReportingLevel","1:LA","lvl",$B24),0)</f>
        <v>5</v>
      </c>
      <c r="D24" s="60">
        <f>IFERROR(GETPIVOTDATA((CONCATENATE("Sum of ", D$8)),h4b!$A$1,"ReportingLevel","1:LA","lvl",$B24),0)</f>
        <v>10</v>
      </c>
      <c r="E24" s="60">
        <f>IFERROR(GETPIVOTDATA((CONCATENATE("Sum of ", E$8)),h4b!$A$1,"ReportingLevel","1:LA","lvl",$B24),0)</f>
        <v>40</v>
      </c>
      <c r="F24" s="370">
        <f t="shared" ref="F24:F43" si="2">SUM(C24:E24)</f>
        <v>55</v>
      </c>
    </row>
    <row r="25" spans="1:6" ht="15" customHeight="1" x14ac:dyDescent="0.25">
      <c r="A25" s="578" t="s">
        <v>318</v>
      </c>
      <c r="B25" s="59" t="s">
        <v>43</v>
      </c>
      <c r="C25" s="60">
        <f>IFERROR(GETPIVOTDATA((CONCATENATE("Sum of ", C$8)),h4b!$A$1,"ReportingLevel","1:LA","lvl",$B25),0)</f>
        <v>10</v>
      </c>
      <c r="D25" s="60">
        <f>IFERROR(GETPIVOTDATA((CONCATENATE("Sum of ", D$8)),h4b!$A$1,"ReportingLevel","1:LA","lvl",$B25),0)</f>
        <v>21</v>
      </c>
      <c r="E25" s="60">
        <f>IFERROR(GETPIVOTDATA((CONCATENATE("Sum of ", E$8)),h4b!$A$1,"ReportingLevel","1:LA","lvl",$B25),0)</f>
        <v>86</v>
      </c>
      <c r="F25" s="370">
        <f t="shared" si="2"/>
        <v>117</v>
      </c>
    </row>
    <row r="26" spans="1:6" ht="15" customHeight="1" x14ac:dyDescent="0.25">
      <c r="A26" s="578" t="s">
        <v>317</v>
      </c>
      <c r="B26" s="59" t="s">
        <v>124</v>
      </c>
      <c r="C26" s="60">
        <f>IFERROR(GETPIVOTDATA((CONCATENATE("Sum of ", C$8)),h4b!$A$1,"ReportingLevel","1:LA","lvl",$B26),0)</f>
        <v>0</v>
      </c>
      <c r="D26" s="60">
        <f>IFERROR(GETPIVOTDATA((CONCATENATE("Sum of ", D$8)),h4b!$A$1,"ReportingLevel","1:LA","lvl",$B26),0)</f>
        <v>0</v>
      </c>
      <c r="E26" s="60">
        <f>IFERROR(GETPIVOTDATA((CONCATENATE("Sum of ", E$8)),h4b!$A$1,"ReportingLevel","1:LA","lvl",$B26),0)</f>
        <v>0</v>
      </c>
      <c r="F26" s="370">
        <f t="shared" si="2"/>
        <v>0</v>
      </c>
    </row>
    <row r="27" spans="1:6" ht="15" customHeight="1" x14ac:dyDescent="0.25">
      <c r="A27" s="578" t="s">
        <v>294</v>
      </c>
      <c r="B27" s="59" t="s">
        <v>44</v>
      </c>
      <c r="C27" s="60">
        <f>IFERROR(GETPIVOTDATA((CONCATENATE("Sum of ", C$8)),h4b!$A$1,"ReportingLevel","1:LA","lvl",$B27),0)</f>
        <v>60</v>
      </c>
      <c r="D27" s="60">
        <f>IFERROR(GETPIVOTDATA((CONCATENATE("Sum of ", D$8)),h4b!$A$1,"ReportingLevel","1:LA","lvl",$B27),0)</f>
        <v>103</v>
      </c>
      <c r="E27" s="60">
        <f>IFERROR(GETPIVOTDATA((CONCATENATE("Sum of ", E$8)),h4b!$A$1,"ReportingLevel","1:LA","lvl",$B27),0)</f>
        <v>393</v>
      </c>
      <c r="F27" s="370">
        <f t="shared" si="2"/>
        <v>556</v>
      </c>
    </row>
    <row r="28" spans="1:6" ht="15" customHeight="1" x14ac:dyDescent="0.25">
      <c r="A28" s="578" t="s">
        <v>295</v>
      </c>
      <c r="B28" s="59" t="s">
        <v>45</v>
      </c>
      <c r="C28" s="60">
        <f>IFERROR(GETPIVOTDATA((CONCATENATE("Sum of ", C$8)),h4b!$A$1,"ReportingLevel","1:LA","lvl",$B28),0)</f>
        <v>3</v>
      </c>
      <c r="D28" s="60">
        <f>IFERROR(GETPIVOTDATA((CONCATENATE("Sum of ", D$8)),h4b!$A$1,"ReportingLevel","1:LA","lvl",$B28),0)</f>
        <v>6</v>
      </c>
      <c r="E28" s="60">
        <f>IFERROR(GETPIVOTDATA((CONCATENATE("Sum of ", E$8)),h4b!$A$1,"ReportingLevel","1:LA","lvl",$B28),0)</f>
        <v>35</v>
      </c>
      <c r="F28" s="370">
        <f t="shared" si="2"/>
        <v>44</v>
      </c>
    </row>
    <row r="29" spans="1:6" ht="15" customHeight="1" x14ac:dyDescent="0.25">
      <c r="A29" s="578" t="s">
        <v>296</v>
      </c>
      <c r="B29" s="59" t="s">
        <v>46</v>
      </c>
      <c r="C29" s="60">
        <f>IFERROR(GETPIVOTDATA((CONCATENATE("Sum of ", C$8)),h4b!$A$1,"ReportingLevel","1:LA","lvl",$B29),0)</f>
        <v>1</v>
      </c>
      <c r="D29" s="60">
        <f>IFERROR(GETPIVOTDATA((CONCATENATE("Sum of ", D$8)),h4b!$A$1,"ReportingLevel","1:LA","lvl",$B29),0)</f>
        <v>3</v>
      </c>
      <c r="E29" s="60">
        <f>IFERROR(GETPIVOTDATA((CONCATENATE("Sum of ", E$8)),h4b!$A$1,"ReportingLevel","1:LA","lvl",$B29),0)</f>
        <v>9</v>
      </c>
      <c r="F29" s="370">
        <f t="shared" si="2"/>
        <v>13</v>
      </c>
    </row>
    <row r="30" spans="1:6" ht="15" customHeight="1" x14ac:dyDescent="0.25">
      <c r="A30" s="578" t="s">
        <v>297</v>
      </c>
      <c r="B30" s="59" t="s">
        <v>47</v>
      </c>
      <c r="C30" s="60">
        <f>IFERROR(GETPIVOTDATA((CONCATENATE("Sum of ", C$8)),h4b!$A$1,"ReportingLevel","1:LA","lvl",$B30),0)</f>
        <v>12</v>
      </c>
      <c r="D30" s="60">
        <f>IFERROR(GETPIVOTDATA((CONCATENATE("Sum of ", D$8)),h4b!$A$1,"ReportingLevel","1:LA","lvl",$B30),0)</f>
        <v>28</v>
      </c>
      <c r="E30" s="60">
        <f>IFERROR(GETPIVOTDATA((CONCATENATE("Sum of ", E$8)),h4b!$A$1,"ReportingLevel","1:LA","lvl",$B30),0)</f>
        <v>81</v>
      </c>
      <c r="F30" s="370">
        <f t="shared" si="2"/>
        <v>121</v>
      </c>
    </row>
    <row r="31" spans="1:6" ht="15" customHeight="1" x14ac:dyDescent="0.25">
      <c r="A31" s="578" t="s">
        <v>292</v>
      </c>
      <c r="B31" s="59" t="s">
        <v>48</v>
      </c>
      <c r="C31" s="60">
        <f>IFERROR(GETPIVOTDATA((CONCATENATE("Sum of ", C$8)),h4b!$A$1,"ReportingLevel","1:LA","lvl",$B31),0)</f>
        <v>14</v>
      </c>
      <c r="D31" s="60">
        <f>IFERROR(GETPIVOTDATA((CONCATENATE("Sum of ", D$8)),h4b!$A$1,"ReportingLevel","1:LA","lvl",$B31),0)</f>
        <v>25</v>
      </c>
      <c r="E31" s="60">
        <f>IFERROR(GETPIVOTDATA((CONCATENATE("Sum of ", E$8)),h4b!$A$1,"ReportingLevel","1:LA","lvl",$B31),0)</f>
        <v>94</v>
      </c>
      <c r="F31" s="370">
        <f t="shared" si="2"/>
        <v>133</v>
      </c>
    </row>
    <row r="32" spans="1:6" ht="15" customHeight="1" x14ac:dyDescent="0.25">
      <c r="A32" s="578" t="s">
        <v>298</v>
      </c>
      <c r="B32" s="59" t="s">
        <v>49</v>
      </c>
      <c r="C32" s="60">
        <f>IFERROR(GETPIVOTDATA((CONCATENATE("Sum of ", C$8)),h4b!$A$1,"ReportingLevel","1:LA","lvl",$B32),0)</f>
        <v>12</v>
      </c>
      <c r="D32" s="60">
        <f>IFERROR(GETPIVOTDATA((CONCATENATE("Sum of ", D$8)),h4b!$A$1,"ReportingLevel","1:LA","lvl",$B32),0)</f>
        <v>11</v>
      </c>
      <c r="E32" s="60">
        <f>IFERROR(GETPIVOTDATA((CONCATENATE("Sum of ", E$8)),h4b!$A$1,"ReportingLevel","1:LA","lvl",$B32),0)</f>
        <v>85</v>
      </c>
      <c r="F32" s="370">
        <f t="shared" si="2"/>
        <v>108</v>
      </c>
    </row>
    <row r="33" spans="1:6" ht="15" customHeight="1" x14ac:dyDescent="0.25">
      <c r="A33" s="578" t="s">
        <v>315</v>
      </c>
      <c r="B33" s="59" t="s">
        <v>50</v>
      </c>
      <c r="C33" s="60">
        <f>IFERROR(GETPIVOTDATA((CONCATENATE("Sum of ", C$8)),h4b!$A$1,"ReportingLevel","1:LA","lvl",$B33),0)</f>
        <v>3</v>
      </c>
      <c r="D33" s="60">
        <f>IFERROR(GETPIVOTDATA((CONCATENATE("Sum of ", D$8)),h4b!$A$1,"ReportingLevel","1:LA","lvl",$B33),0)</f>
        <v>6</v>
      </c>
      <c r="E33" s="60">
        <f>IFERROR(GETPIVOTDATA((CONCATENATE("Sum of ", E$8)),h4b!$A$1,"ReportingLevel","1:LA","lvl",$B33),0)</f>
        <v>26</v>
      </c>
      <c r="F33" s="370">
        <f t="shared" si="2"/>
        <v>35</v>
      </c>
    </row>
    <row r="34" spans="1:6" ht="15" customHeight="1" x14ac:dyDescent="0.25">
      <c r="A34" s="578" t="s">
        <v>299</v>
      </c>
      <c r="B34" s="59" t="s">
        <v>51</v>
      </c>
      <c r="C34" s="60">
        <f>IFERROR(GETPIVOTDATA((CONCATENATE("Sum of ", C$8)),h4b!$A$1,"ReportingLevel","1:LA","lvl",$B34),0)</f>
        <v>10</v>
      </c>
      <c r="D34" s="60">
        <f>IFERROR(GETPIVOTDATA((CONCATENATE("Sum of ", D$8)),h4b!$A$1,"ReportingLevel","1:LA","lvl",$B34),0)</f>
        <v>23</v>
      </c>
      <c r="E34" s="60">
        <f>IFERROR(GETPIVOTDATA((CONCATENATE("Sum of ", E$8)),h4b!$A$1,"ReportingLevel","1:LA","lvl",$B34),0)</f>
        <v>77</v>
      </c>
      <c r="F34" s="370">
        <f t="shared" si="2"/>
        <v>110</v>
      </c>
    </row>
    <row r="35" spans="1:6" ht="15" customHeight="1" x14ac:dyDescent="0.25">
      <c r="A35" s="578" t="s">
        <v>300</v>
      </c>
      <c r="B35" s="59" t="s">
        <v>52</v>
      </c>
      <c r="C35" s="60">
        <f>IFERROR(GETPIVOTDATA((CONCATENATE("Sum of ", C$8)),h4b!$A$1,"ReportingLevel","1:LA","lvl",$B35),0)</f>
        <v>11</v>
      </c>
      <c r="D35" s="60">
        <f>IFERROR(GETPIVOTDATA((CONCATENATE("Sum of ", D$8)),h4b!$A$1,"ReportingLevel","1:LA","lvl",$B35),0)</f>
        <v>23</v>
      </c>
      <c r="E35" s="60">
        <f>IFERROR(GETPIVOTDATA((CONCATENATE("Sum of ", E$8)),h4b!$A$1,"ReportingLevel","1:LA","lvl",$B35),0)</f>
        <v>98</v>
      </c>
      <c r="F35" s="370">
        <f t="shared" si="2"/>
        <v>132</v>
      </c>
    </row>
    <row r="36" spans="1:6" ht="15" customHeight="1" x14ac:dyDescent="0.25">
      <c r="A36" s="578" t="s">
        <v>310</v>
      </c>
      <c r="B36" s="59" t="s">
        <v>53</v>
      </c>
      <c r="C36" s="60">
        <f>IFERROR(GETPIVOTDATA((CONCATENATE("Sum of ", C$8)),h4b!$A$1,"ReportingLevel","1:LA","lvl",$B36),0)</f>
        <v>1</v>
      </c>
      <c r="D36" s="60">
        <f>IFERROR(GETPIVOTDATA((CONCATENATE("Sum of ", D$8)),h4b!$A$1,"ReportingLevel","1:LA","lvl",$B36),0)</f>
        <v>2</v>
      </c>
      <c r="E36" s="60">
        <f>IFERROR(GETPIVOTDATA((CONCATENATE("Sum of ", E$8)),h4b!$A$1,"ReportingLevel","1:LA","lvl",$B36),0)</f>
        <v>14</v>
      </c>
      <c r="F36" s="370">
        <f t="shared" si="2"/>
        <v>17</v>
      </c>
    </row>
    <row r="37" spans="1:6" ht="15" customHeight="1" x14ac:dyDescent="0.25">
      <c r="A37" s="578" t="s">
        <v>301</v>
      </c>
      <c r="B37" s="59" t="s">
        <v>54</v>
      </c>
      <c r="C37" s="60">
        <f>IFERROR(GETPIVOTDATA((CONCATENATE("Sum of ", C$8)),h4b!$A$1,"ReportingLevel","1:LA","lvl",$B37),0)</f>
        <v>14</v>
      </c>
      <c r="D37" s="60">
        <f>IFERROR(GETPIVOTDATA((CONCATENATE("Sum of ", D$8)),h4b!$A$1,"ReportingLevel","1:LA","lvl",$B37),0)</f>
        <v>28</v>
      </c>
      <c r="E37" s="60">
        <f>IFERROR(GETPIVOTDATA((CONCATENATE("Sum of ", E$8)),h4b!$A$1,"ReportingLevel","1:LA","lvl",$B37),0)</f>
        <v>102</v>
      </c>
      <c r="F37" s="370">
        <f t="shared" si="2"/>
        <v>144</v>
      </c>
    </row>
    <row r="38" spans="1:6" ht="15" customHeight="1" x14ac:dyDescent="0.25">
      <c r="A38" s="578" t="s">
        <v>302</v>
      </c>
      <c r="B38" s="59" t="s">
        <v>55</v>
      </c>
      <c r="C38" s="60">
        <f>IFERROR(GETPIVOTDATA((CONCATENATE("Sum of ", C$8)),h4b!$A$1,"ReportingLevel","1:LA","lvl",$B38),0)</f>
        <v>14</v>
      </c>
      <c r="D38" s="60">
        <f>IFERROR(GETPIVOTDATA((CONCATENATE("Sum of ", D$8)),h4b!$A$1,"ReportingLevel","1:LA","lvl",$B38),0)</f>
        <v>25</v>
      </c>
      <c r="E38" s="60">
        <f>IFERROR(GETPIVOTDATA((CONCATENATE("Sum of ", E$8)),h4b!$A$1,"ReportingLevel","1:LA","lvl",$B38),0)</f>
        <v>89</v>
      </c>
      <c r="F38" s="370">
        <f t="shared" si="2"/>
        <v>128</v>
      </c>
    </row>
    <row r="39" spans="1:6" ht="15" customHeight="1" x14ac:dyDescent="0.25">
      <c r="A39" s="578" t="s">
        <v>303</v>
      </c>
      <c r="B39" s="59" t="s">
        <v>56</v>
      </c>
      <c r="C39" s="60">
        <f>IFERROR(GETPIVOTDATA((CONCATENATE("Sum of ", C$8)),h4b!$A$1,"ReportingLevel","1:LA","lvl",$B39),0)</f>
        <v>5</v>
      </c>
      <c r="D39" s="60">
        <f>IFERROR(GETPIVOTDATA((CONCATENATE("Sum of ", D$8)),h4b!$A$1,"ReportingLevel","1:LA","lvl",$B39),0)</f>
        <v>7</v>
      </c>
      <c r="E39" s="60">
        <f>IFERROR(GETPIVOTDATA((CONCATENATE("Sum of ", E$8)),h4b!$A$1,"ReportingLevel","1:LA","lvl",$B39),0)</f>
        <v>46</v>
      </c>
      <c r="F39" s="370">
        <f t="shared" si="2"/>
        <v>58</v>
      </c>
    </row>
    <row r="40" spans="1:6" ht="15" customHeight="1" x14ac:dyDescent="0.25">
      <c r="A40" s="578" t="s">
        <v>304</v>
      </c>
      <c r="B40" s="59" t="s">
        <v>57</v>
      </c>
      <c r="C40" s="60">
        <f>IFERROR(GETPIVOTDATA((CONCATENATE("Sum of ", C$8)),h4b!$A$1,"ReportingLevel","1:LA","lvl",$B40),0)</f>
        <v>9</v>
      </c>
      <c r="D40" s="60">
        <f>IFERROR(GETPIVOTDATA((CONCATENATE("Sum of ", D$8)),h4b!$A$1,"ReportingLevel","1:LA","lvl",$B40),0)</f>
        <v>8</v>
      </c>
      <c r="E40" s="60">
        <f>IFERROR(GETPIVOTDATA((CONCATENATE("Sum of ", E$8)),h4b!$A$1,"ReportingLevel","1:LA","lvl",$B40),0)</f>
        <v>61</v>
      </c>
      <c r="F40" s="370">
        <f t="shared" si="2"/>
        <v>78</v>
      </c>
    </row>
    <row r="41" spans="1:6" ht="15" customHeight="1" x14ac:dyDescent="0.25">
      <c r="A41" s="578" t="s">
        <v>305</v>
      </c>
      <c r="B41" s="59" t="s">
        <v>58</v>
      </c>
      <c r="C41" s="60">
        <f>IFERROR(GETPIVOTDATA((CONCATENATE("Sum of ", C$8)),h4b!$A$1,"ReportingLevel","1:LA","lvl",$B41),0)</f>
        <v>9</v>
      </c>
      <c r="D41" s="60">
        <f>IFERROR(GETPIVOTDATA((CONCATENATE("Sum of ", D$8)),h4b!$A$1,"ReportingLevel","1:LA","lvl",$B41),0)</f>
        <v>16</v>
      </c>
      <c r="E41" s="60">
        <f>IFERROR(GETPIVOTDATA((CONCATENATE("Sum of ", E$8)),h4b!$A$1,"ReportingLevel","1:LA","lvl",$B41),0)</f>
        <v>51</v>
      </c>
      <c r="F41" s="370">
        <f t="shared" si="2"/>
        <v>76</v>
      </c>
    </row>
    <row r="42" spans="1:6" ht="15" customHeight="1" x14ac:dyDescent="0.25">
      <c r="A42" s="578" t="s">
        <v>311</v>
      </c>
      <c r="B42" s="59" t="s">
        <v>59</v>
      </c>
      <c r="C42" s="60">
        <f>IFERROR(GETPIVOTDATA((CONCATENATE("Sum of ", C$8)),h4b!$A$1,"ReportingLevel","1:LA","lvl",$B42),0)</f>
        <v>2</v>
      </c>
      <c r="D42" s="60">
        <f>IFERROR(GETPIVOTDATA((CONCATENATE("Sum of ", D$8)),h4b!$A$1,"ReportingLevel","1:LA","lvl",$B42),0)</f>
        <v>2</v>
      </c>
      <c r="E42" s="60">
        <f>IFERROR(GETPIVOTDATA((CONCATENATE("Sum of ", E$8)),h4b!$A$1,"ReportingLevel","1:LA","lvl",$B42),0)</f>
        <v>16</v>
      </c>
      <c r="F42" s="370">
        <f t="shared" si="2"/>
        <v>20</v>
      </c>
    </row>
    <row r="43" spans="1:6" ht="15" customHeight="1" x14ac:dyDescent="0.25">
      <c r="A43" s="578" t="s">
        <v>312</v>
      </c>
      <c r="B43" s="59" t="s">
        <v>60</v>
      </c>
      <c r="C43" s="60">
        <f>IFERROR(GETPIVOTDATA((CONCATENATE("Sum of ", C$8)),h4b!$A$1,"ReportingLevel","1:LA","lvl",$B43),0)</f>
        <v>5</v>
      </c>
      <c r="D43" s="60">
        <f>IFERROR(GETPIVOTDATA((CONCATENATE("Sum of ", D$8)),h4b!$A$1,"ReportingLevel","1:LA","lvl",$B43),0)</f>
        <v>11</v>
      </c>
      <c r="E43" s="60">
        <f>IFERROR(GETPIVOTDATA((CONCATENATE("Sum of ", E$8)),h4b!$A$1,"ReportingLevel","1:LA","lvl",$B43),0)</f>
        <v>43</v>
      </c>
      <c r="F43" s="370">
        <f t="shared" si="2"/>
        <v>59</v>
      </c>
    </row>
    <row r="44" spans="1:6" ht="30" customHeight="1" thickBot="1" x14ac:dyDescent="0.3">
      <c r="A44" s="63"/>
      <c r="B44" s="63" t="s">
        <v>61</v>
      </c>
      <c r="C44" s="87">
        <f>SUM(C12:C43)</f>
        <v>279</v>
      </c>
      <c r="D44" s="87">
        <f>SUM(D12:D43)</f>
        <v>533</v>
      </c>
      <c r="E44" s="87">
        <f>SUM(E12:E43)</f>
        <v>2141</v>
      </c>
      <c r="F44" s="87">
        <f>SUM(F12:F43)</f>
        <v>2953</v>
      </c>
    </row>
    <row r="45" spans="1:6" ht="13.5" customHeight="1" x14ac:dyDescent="0.25">
      <c r="B45" s="100"/>
      <c r="C45" s="372"/>
      <c r="D45" s="372"/>
      <c r="E45" s="372"/>
      <c r="F45" s="372"/>
    </row>
    <row r="46" spans="1:6" x14ac:dyDescent="0.25">
      <c r="A46" s="512" t="s">
        <v>8</v>
      </c>
    </row>
    <row r="47" spans="1:6" x14ac:dyDescent="0.25">
      <c r="A47" s="485" t="s">
        <v>248</v>
      </c>
    </row>
    <row r="50" spans="2:2" x14ac:dyDescent="0.25">
      <c r="B50" s="485"/>
    </row>
    <row r="51" spans="2:2" x14ac:dyDescent="0.25">
      <c r="B51" s="485"/>
    </row>
    <row r="52" spans="2:2" x14ac:dyDescent="0.25">
      <c r="B52" s="485"/>
    </row>
    <row r="53" spans="2:2" x14ac:dyDescent="0.25">
      <c r="B53" s="485"/>
    </row>
  </sheetData>
  <sheetProtection algorithmName="SHA-512" hashValue="PgdlL+MHAx3O2dlj2nsbMfJllo18EvQXNHl8zyq3FTf62G0RATC/cjBnXSIRPJiyklIGrjx/pIhlGcOopoTxXQ==" saltValue="rdMhoO6hLVSuTIURiyHtcA==" spinCount="100000" sheet="1" scenarios="1" pivotTables="0"/>
  <mergeCells count="2">
    <mergeCell ref="A4:F4"/>
    <mergeCell ref="A1:G1"/>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93" orientation="portrait" r:id="rId1"/>
  <drawing r:id="rId2"/>
  <extLst>
    <ext xmlns:x14="http://schemas.microsoft.com/office/spreadsheetml/2009/9/main" uri="{A8765BA9-456A-4dab-B4F3-ACF838C121DE}">
      <x14:slicerList>
        <x14:slicer r:id="rId3"/>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39997558519241921"/>
    <pageSetUpPr fitToPage="1"/>
  </sheetPr>
  <dimension ref="A1:J41"/>
  <sheetViews>
    <sheetView showGridLines="0" workbookViewId="0">
      <pane ySplit="2" topLeftCell="A3" activePane="bottomLeft" state="frozen"/>
      <selection sqref="A1:C1"/>
      <selection pane="bottomLeft" sqref="A1:H1"/>
    </sheetView>
  </sheetViews>
  <sheetFormatPr defaultRowHeight="15" x14ac:dyDescent="0.25"/>
  <cols>
    <col min="1" max="1" width="17.140625" customWidth="1"/>
    <col min="2" max="2" width="33.85546875" customWidth="1"/>
    <col min="3" max="8" width="13" customWidth="1"/>
    <col min="9" max="9" width="14.140625" customWidth="1"/>
    <col min="10" max="10" width="12.140625" customWidth="1"/>
  </cols>
  <sheetData>
    <row r="1" spans="1:10" ht="15.75" x14ac:dyDescent="0.25">
      <c r="A1" s="993" t="s">
        <v>523</v>
      </c>
      <c r="B1" s="993"/>
      <c r="C1" s="993"/>
      <c r="D1" s="993"/>
      <c r="E1" s="993"/>
      <c r="F1" s="993"/>
      <c r="G1" s="993"/>
      <c r="H1" s="993"/>
    </row>
    <row r="2" spans="1:10" ht="15.75" x14ac:dyDescent="0.25">
      <c r="A2" s="790" t="s">
        <v>598</v>
      </c>
      <c r="C2" s="668"/>
      <c r="D2" s="668"/>
      <c r="E2" s="668"/>
      <c r="F2" s="668"/>
      <c r="G2" s="668"/>
      <c r="H2" s="668"/>
    </row>
    <row r="3" spans="1:10" ht="15.75" x14ac:dyDescent="0.25">
      <c r="C3" s="668"/>
      <c r="D3" s="668"/>
      <c r="E3" s="668"/>
      <c r="F3" s="668"/>
      <c r="G3" s="668"/>
      <c r="H3" s="668"/>
    </row>
    <row r="4" spans="1:10" s="685" customFormat="1" ht="30.75" customHeight="1" x14ac:dyDescent="0.25">
      <c r="A4" s="684" t="s">
        <v>551</v>
      </c>
      <c r="B4" s="684"/>
      <c r="C4" s="684"/>
      <c r="D4" s="684"/>
      <c r="E4" s="684"/>
      <c r="F4" s="684"/>
      <c r="G4" s="684"/>
      <c r="H4" s="684"/>
      <c r="J4" s="686"/>
    </row>
    <row r="5" spans="1:10" ht="15" customHeight="1" x14ac:dyDescent="0.25">
      <c r="A5" t="s">
        <v>368</v>
      </c>
      <c r="B5" t="s">
        <v>776</v>
      </c>
      <c r="C5" s="631"/>
      <c r="D5" s="631"/>
      <c r="E5" s="631"/>
      <c r="F5" s="631"/>
      <c r="G5" s="631"/>
      <c r="H5" s="631"/>
      <c r="J5" s="102"/>
    </row>
    <row r="6" spans="1:10" ht="15" customHeight="1" x14ac:dyDescent="0.25">
      <c r="A6" t="s">
        <v>369</v>
      </c>
      <c r="B6" t="s">
        <v>371</v>
      </c>
      <c r="C6" s="631"/>
      <c r="D6" s="631"/>
      <c r="E6" s="631"/>
      <c r="F6" s="631"/>
      <c r="G6" s="631"/>
      <c r="H6" s="631"/>
      <c r="J6" s="102"/>
    </row>
    <row r="7" spans="1:10" ht="15" customHeight="1" x14ac:dyDescent="0.25">
      <c r="A7" t="s">
        <v>370</v>
      </c>
      <c r="B7" t="s">
        <v>372</v>
      </c>
      <c r="C7" s="631"/>
      <c r="D7" s="631"/>
      <c r="E7" s="631"/>
      <c r="F7" s="631"/>
      <c r="G7" s="631"/>
      <c r="H7" s="631"/>
      <c r="J7" s="102"/>
    </row>
    <row r="8" spans="1:10" ht="15" customHeight="1" x14ac:dyDescent="0.25">
      <c r="A8" s="631"/>
      <c r="B8" s="631"/>
      <c r="C8" s="631"/>
      <c r="D8" s="631"/>
      <c r="E8" s="631"/>
      <c r="F8" s="631"/>
      <c r="G8" s="631"/>
      <c r="H8" s="631"/>
      <c r="J8" s="102"/>
    </row>
    <row r="9" spans="1:10" ht="33.75" customHeight="1" x14ac:dyDescent="0.25">
      <c r="A9" s="53" t="s">
        <v>532</v>
      </c>
      <c r="B9" s="103" t="s">
        <v>222</v>
      </c>
      <c r="C9" s="104" t="s">
        <v>18</v>
      </c>
      <c r="D9" s="104" t="s">
        <v>19</v>
      </c>
      <c r="E9" s="104" t="s">
        <v>20</v>
      </c>
      <c r="F9" s="104" t="s">
        <v>21</v>
      </c>
      <c r="G9" s="104" t="s">
        <v>22</v>
      </c>
      <c r="H9" s="104" t="s">
        <v>83</v>
      </c>
      <c r="I9" s="105" t="s">
        <v>26</v>
      </c>
    </row>
    <row r="10" spans="1:10" ht="15" customHeight="1" thickBot="1" x14ac:dyDescent="0.3">
      <c r="A10" s="418" t="s">
        <v>391</v>
      </c>
      <c r="B10" s="99" t="s">
        <v>536</v>
      </c>
      <c r="C10" s="106">
        <f>h4cde!B5</f>
        <v>1</v>
      </c>
      <c r="D10" s="106">
        <f>h4cde!C5</f>
        <v>4</v>
      </c>
      <c r="E10" s="106">
        <f>h4cde!D5</f>
        <v>9</v>
      </c>
      <c r="F10" s="106">
        <f>h4cde!E5</f>
        <v>42</v>
      </c>
      <c r="G10" s="106">
        <f>h4cde!F5</f>
        <v>27</v>
      </c>
      <c r="H10" s="106">
        <f>h4cde!G5</f>
        <v>124</v>
      </c>
      <c r="I10" s="41">
        <f>SUM(C10:H10)</f>
        <v>207</v>
      </c>
    </row>
    <row r="11" spans="1:10" ht="13.5" customHeight="1" x14ac:dyDescent="0.25">
      <c r="A11" s="61"/>
      <c r="B11" s="101"/>
      <c r="C11" s="28"/>
      <c r="D11" s="28"/>
      <c r="E11" s="28"/>
      <c r="F11" s="28"/>
      <c r="G11" s="28"/>
      <c r="H11" s="28"/>
      <c r="I11" s="13"/>
      <c r="J11" s="45"/>
    </row>
    <row r="12" spans="1:10" ht="13.5" customHeight="1" x14ac:dyDescent="0.25">
      <c r="A12" s="65" t="s">
        <v>8</v>
      </c>
      <c r="C12" s="28"/>
      <c r="D12" s="28"/>
      <c r="E12" s="28"/>
      <c r="F12" s="28"/>
      <c r="G12" s="28"/>
      <c r="H12" s="28"/>
      <c r="I12" s="13"/>
      <c r="J12" s="45"/>
    </row>
    <row r="13" spans="1:10" ht="15.75" x14ac:dyDescent="0.25">
      <c r="A13" s="485" t="s">
        <v>236</v>
      </c>
      <c r="C13" s="312"/>
      <c r="D13" s="312"/>
      <c r="E13" s="312"/>
      <c r="F13" s="312"/>
      <c r="G13" s="312"/>
      <c r="H13" s="312"/>
      <c r="I13" s="312"/>
      <c r="J13" s="102"/>
    </row>
    <row r="14" spans="1:10" ht="15" customHeight="1" x14ac:dyDescent="0.25">
      <c r="A14" t="s">
        <v>537</v>
      </c>
      <c r="C14" s="312"/>
      <c r="D14" s="312"/>
      <c r="E14" s="312"/>
      <c r="F14" s="312"/>
      <c r="G14" s="312"/>
      <c r="H14" s="312"/>
      <c r="I14" s="312"/>
      <c r="J14" s="102"/>
    </row>
    <row r="15" spans="1:10" ht="15" customHeight="1" x14ac:dyDescent="0.25">
      <c r="C15" s="632"/>
      <c r="D15" s="632"/>
      <c r="E15" s="632"/>
      <c r="F15" s="632"/>
      <c r="G15" s="632"/>
      <c r="H15" s="632"/>
      <c r="I15" s="632"/>
      <c r="J15" s="102"/>
    </row>
    <row r="16" spans="1:10" ht="30" customHeight="1" x14ac:dyDescent="0.25">
      <c r="A16" s="684" t="s">
        <v>552</v>
      </c>
      <c r="B16" s="684"/>
      <c r="C16" s="684"/>
      <c r="D16" s="684"/>
      <c r="E16" s="684"/>
      <c r="F16" s="684"/>
      <c r="G16" s="684"/>
      <c r="H16" s="684"/>
      <c r="J16" s="102"/>
    </row>
    <row r="17" spans="1:10" ht="15" customHeight="1" x14ac:dyDescent="0.25">
      <c r="A17" t="s">
        <v>368</v>
      </c>
      <c r="B17" t="s">
        <v>777</v>
      </c>
      <c r="C17" s="684"/>
      <c r="D17" s="684"/>
      <c r="E17" s="684"/>
      <c r="F17" s="684"/>
      <c r="G17" s="684"/>
      <c r="H17" s="684"/>
      <c r="J17" s="102"/>
    </row>
    <row r="18" spans="1:10" ht="15" customHeight="1" x14ac:dyDescent="0.25">
      <c r="A18" t="s">
        <v>369</v>
      </c>
      <c r="B18" t="s">
        <v>371</v>
      </c>
      <c r="C18" s="631"/>
      <c r="D18" s="631"/>
      <c r="E18" s="631"/>
      <c r="F18" s="631"/>
      <c r="G18" s="631"/>
      <c r="H18" s="631"/>
      <c r="I18" s="631"/>
      <c r="J18" s="102"/>
    </row>
    <row r="19" spans="1:10" ht="15" customHeight="1" x14ac:dyDescent="0.25">
      <c r="A19" t="s">
        <v>370</v>
      </c>
      <c r="B19" t="s">
        <v>372</v>
      </c>
      <c r="D19" s="631"/>
      <c r="E19" s="631"/>
      <c r="F19" s="631"/>
      <c r="G19" s="631"/>
      <c r="H19" s="631"/>
      <c r="I19" s="631"/>
      <c r="J19" s="102"/>
    </row>
    <row r="20" spans="1:10" ht="15" customHeight="1" x14ac:dyDescent="0.25">
      <c r="A20" s="485" t="s">
        <v>1063</v>
      </c>
      <c r="C20" s="631"/>
      <c r="D20" s="631"/>
      <c r="E20" s="631"/>
      <c r="F20" s="631"/>
      <c r="G20" s="631"/>
      <c r="H20" s="631"/>
      <c r="I20" s="631"/>
      <c r="J20" s="102"/>
    </row>
    <row r="21" spans="1:10" ht="33.75" customHeight="1" x14ac:dyDescent="0.25">
      <c r="B21" s="103" t="s">
        <v>222</v>
      </c>
      <c r="C21" s="98" t="s">
        <v>213</v>
      </c>
      <c r="D21" s="98" t="s">
        <v>84</v>
      </c>
      <c r="E21" s="98" t="s">
        <v>85</v>
      </c>
      <c r="F21" s="98" t="s">
        <v>86</v>
      </c>
      <c r="G21" s="98" t="s">
        <v>87</v>
      </c>
      <c r="H21" s="98" t="s">
        <v>88</v>
      </c>
      <c r="I21" s="98" t="s">
        <v>101</v>
      </c>
      <c r="J21" s="107" t="s">
        <v>26</v>
      </c>
    </row>
    <row r="22" spans="1:10" ht="22.5" customHeight="1" thickBot="1" x14ac:dyDescent="0.3">
      <c r="B22" s="99" t="s">
        <v>536</v>
      </c>
      <c r="C22" s="399">
        <f t="shared" ref="C22:J22" si="0">C27+C29</f>
        <v>3</v>
      </c>
      <c r="D22" s="399">
        <f t="shared" si="0"/>
        <v>49</v>
      </c>
      <c r="E22" s="399">
        <f t="shared" si="0"/>
        <v>34</v>
      </c>
      <c r="F22" s="399">
        <f t="shared" si="0"/>
        <v>84</v>
      </c>
      <c r="G22" s="399">
        <f t="shared" si="0"/>
        <v>388</v>
      </c>
      <c r="H22" s="399">
        <f t="shared" si="0"/>
        <v>64</v>
      </c>
      <c r="I22" s="399">
        <f t="shared" si="0"/>
        <v>170</v>
      </c>
      <c r="J22" s="399">
        <f t="shared" si="0"/>
        <v>792</v>
      </c>
    </row>
    <row r="23" spans="1:10" ht="30" customHeight="1" x14ac:dyDescent="0.25">
      <c r="A23" s="53" t="s">
        <v>373</v>
      </c>
      <c r="B23" s="53" t="s">
        <v>76</v>
      </c>
      <c r="C23" s="53"/>
      <c r="D23" s="2"/>
      <c r="E23" s="2"/>
      <c r="F23" s="2"/>
      <c r="G23" s="2"/>
      <c r="H23" s="2"/>
      <c r="I23" s="2"/>
      <c r="J23" s="2"/>
    </row>
    <row r="24" spans="1:10" ht="15" customHeight="1" x14ac:dyDescent="0.25">
      <c r="A24" s="61" t="s">
        <v>411</v>
      </c>
      <c r="B24" s="56" t="s">
        <v>177</v>
      </c>
      <c r="C24" s="688">
        <f>h4cde!B26</f>
        <v>0</v>
      </c>
      <c r="D24" s="61">
        <f>h4cde!C26</f>
        <v>2</v>
      </c>
      <c r="E24" s="61">
        <f>h4cde!D26</f>
        <v>4</v>
      </c>
      <c r="F24" s="61">
        <f>h4cde!E26</f>
        <v>11</v>
      </c>
      <c r="G24" s="61">
        <f>h4cde!F26</f>
        <v>49</v>
      </c>
      <c r="H24" s="61">
        <f>h4cde!G26</f>
        <v>18</v>
      </c>
      <c r="I24" s="61">
        <f>h4cde!H26</f>
        <v>18</v>
      </c>
      <c r="J24" s="109">
        <f>SUM(C24:I24)</f>
        <v>102</v>
      </c>
    </row>
    <row r="25" spans="1:10" ht="15" customHeight="1" x14ac:dyDescent="0.25">
      <c r="A25" s="61" t="s">
        <v>413</v>
      </c>
      <c r="B25" s="59" t="s">
        <v>175</v>
      </c>
      <c r="C25" s="688">
        <f>h4cde!B27</f>
        <v>0</v>
      </c>
      <c r="D25" s="61">
        <f>h4cde!C27</f>
        <v>3</v>
      </c>
      <c r="E25" s="61">
        <f>h4cde!D27</f>
        <v>9</v>
      </c>
      <c r="F25" s="61">
        <f>h4cde!E27</f>
        <v>11</v>
      </c>
      <c r="G25" s="61">
        <f>h4cde!F27</f>
        <v>77</v>
      </c>
      <c r="H25" s="61">
        <f>h4cde!G27</f>
        <v>17</v>
      </c>
      <c r="I25" s="61">
        <f>h4cde!H27</f>
        <v>24</v>
      </c>
      <c r="J25" s="109">
        <f>SUM(C25:I25)</f>
        <v>141</v>
      </c>
    </row>
    <row r="26" spans="1:10" ht="15" customHeight="1" x14ac:dyDescent="0.25">
      <c r="A26" s="687" t="s">
        <v>412</v>
      </c>
      <c r="B26" s="59" t="s">
        <v>176</v>
      </c>
      <c r="C26" s="688">
        <f>h4cde!B28</f>
        <v>0</v>
      </c>
      <c r="D26" s="61">
        <f>h4cde!C28</f>
        <v>2</v>
      </c>
      <c r="E26" s="61">
        <f>h4cde!D28</f>
        <v>9</v>
      </c>
      <c r="F26" s="61">
        <f>h4cde!E28</f>
        <v>15</v>
      </c>
      <c r="G26" s="61">
        <f>h4cde!F28</f>
        <v>134</v>
      </c>
      <c r="H26" s="61">
        <f>h4cde!G28</f>
        <v>28</v>
      </c>
      <c r="I26" s="61">
        <f>h4cde!H28</f>
        <v>58</v>
      </c>
      <c r="J26" s="109">
        <f>SUM(C26:I26)</f>
        <v>246</v>
      </c>
    </row>
    <row r="27" spans="1:10" ht="30" customHeight="1" thickBot="1" x14ac:dyDescent="0.3">
      <c r="A27" s="63"/>
      <c r="B27" s="63" t="s">
        <v>80</v>
      </c>
      <c r="C27" s="689">
        <f>SUM(C24:C26)</f>
        <v>0</v>
      </c>
      <c r="D27" s="399">
        <f>SUM(D24:D26)</f>
        <v>7</v>
      </c>
      <c r="E27" s="399">
        <f t="shared" ref="E27:J27" si="1">SUM(E24:E26)</f>
        <v>22</v>
      </c>
      <c r="F27" s="399">
        <f t="shared" si="1"/>
        <v>37</v>
      </c>
      <c r="G27" s="399">
        <f t="shared" si="1"/>
        <v>260</v>
      </c>
      <c r="H27" s="399">
        <f t="shared" si="1"/>
        <v>63</v>
      </c>
      <c r="I27" s="399">
        <f t="shared" si="1"/>
        <v>100</v>
      </c>
      <c r="J27" s="399">
        <f t="shared" si="1"/>
        <v>489</v>
      </c>
    </row>
    <row r="28" spans="1:10" ht="30" customHeight="1" x14ac:dyDescent="0.25">
      <c r="A28" s="103" t="s">
        <v>532</v>
      </c>
    </row>
    <row r="29" spans="1:10" ht="18.75" customHeight="1" thickBot="1" x14ac:dyDescent="0.3">
      <c r="A29" s="418" t="s">
        <v>391</v>
      </c>
      <c r="B29" s="49" t="s">
        <v>81</v>
      </c>
      <c r="C29" s="418">
        <f>h4cde!B30</f>
        <v>3</v>
      </c>
      <c r="D29" s="418">
        <f>h4cde!C30</f>
        <v>42</v>
      </c>
      <c r="E29" s="418">
        <f>h4cde!D30</f>
        <v>12</v>
      </c>
      <c r="F29" s="418">
        <f>h4cde!E30</f>
        <v>47</v>
      </c>
      <c r="G29" s="418">
        <f>h4cde!F30</f>
        <v>128</v>
      </c>
      <c r="H29" s="418">
        <f>h4cde!G30</f>
        <v>1</v>
      </c>
      <c r="I29" s="418">
        <f>h4cde!H30</f>
        <v>70</v>
      </c>
      <c r="J29" s="399">
        <f>SUM(C29:I29)</f>
        <v>303</v>
      </c>
    </row>
    <row r="30" spans="1:10" x14ac:dyDescent="0.25">
      <c r="B30" s="506"/>
      <c r="C30" s="507"/>
      <c r="D30" s="507"/>
      <c r="E30" s="507"/>
      <c r="F30" s="507"/>
      <c r="G30" s="507"/>
      <c r="H30" s="507"/>
      <c r="I30" s="508"/>
      <c r="J30" s="498"/>
    </row>
    <row r="31" spans="1:10" ht="15" customHeight="1" x14ac:dyDescent="0.25">
      <c r="A31" s="506" t="s">
        <v>8</v>
      </c>
      <c r="B31" s="677"/>
      <c r="C31" s="677"/>
      <c r="D31" s="677"/>
      <c r="E31" s="677"/>
      <c r="F31" s="677"/>
      <c r="G31" s="677"/>
      <c r="H31" s="678"/>
      <c r="I31" s="679"/>
    </row>
    <row r="32" spans="1:10" ht="15" customHeight="1" x14ac:dyDescent="0.25">
      <c r="A32" s="976" t="s">
        <v>838</v>
      </c>
      <c r="B32" s="677"/>
      <c r="C32" s="677"/>
      <c r="D32" s="677"/>
      <c r="E32" s="677"/>
      <c r="F32" s="677"/>
      <c r="G32" s="677"/>
      <c r="H32" s="678"/>
      <c r="I32" s="679"/>
    </row>
    <row r="33" spans="1:10" ht="31.5" customHeight="1" x14ac:dyDescent="0.25">
      <c r="A33" s="1007" t="s">
        <v>837</v>
      </c>
      <c r="B33" s="1007"/>
      <c r="C33" s="1007"/>
      <c r="D33" s="1007"/>
      <c r="E33" s="1007"/>
      <c r="F33" s="1007"/>
      <c r="G33" s="1007"/>
      <c r="H33" s="1007"/>
      <c r="I33" s="1007"/>
      <c r="J33" s="1007"/>
    </row>
    <row r="34" spans="1:10" ht="15" customHeight="1" x14ac:dyDescent="0.25">
      <c r="A34" s="681" t="s">
        <v>233</v>
      </c>
      <c r="B34" s="681"/>
      <c r="C34" s="681"/>
      <c r="D34" s="681"/>
      <c r="E34" s="681"/>
      <c r="F34" s="681"/>
      <c r="G34" s="681"/>
      <c r="H34" s="681"/>
      <c r="I34" s="681"/>
      <c r="J34" s="681"/>
    </row>
    <row r="35" spans="1:10" ht="30" customHeight="1" x14ac:dyDescent="0.25">
      <c r="A35" s="1005" t="s">
        <v>234</v>
      </c>
      <c r="B35" s="1005"/>
      <c r="C35" s="1005"/>
      <c r="D35" s="1005"/>
      <c r="E35" s="1005"/>
      <c r="F35" s="1005"/>
      <c r="G35" s="1005"/>
      <c r="H35" s="1005"/>
      <c r="I35" s="1005"/>
      <c r="J35" s="1005"/>
    </row>
    <row r="36" spans="1:10" ht="15" customHeight="1" x14ac:dyDescent="0.25">
      <c r="A36" s="509" t="s">
        <v>235</v>
      </c>
      <c r="B36" s="499"/>
      <c r="C36" s="682"/>
      <c r="D36" s="683"/>
      <c r="E36" s="683"/>
      <c r="F36" s="683"/>
      <c r="G36" s="683"/>
      <c r="H36" s="683"/>
      <c r="I36" s="683"/>
    </row>
    <row r="37" spans="1:10" x14ac:dyDescent="0.25">
      <c r="A37" t="s">
        <v>1065</v>
      </c>
      <c r="C37" s="508"/>
      <c r="D37" s="508"/>
      <c r="E37" s="508"/>
      <c r="F37" s="508"/>
      <c r="G37" s="508"/>
      <c r="H37" s="508"/>
      <c r="I37" s="508"/>
      <c r="J37" s="498"/>
    </row>
    <row r="38" spans="1:10" x14ac:dyDescent="0.25">
      <c r="B38" s="516"/>
      <c r="C38" s="516"/>
      <c r="D38" s="516"/>
      <c r="E38" s="516"/>
      <c r="F38" s="516"/>
      <c r="G38" s="516"/>
      <c r="H38" s="516"/>
      <c r="I38" s="516"/>
      <c r="J38" s="516"/>
    </row>
    <row r="39" spans="1:10" x14ac:dyDescent="0.25">
      <c r="B39" s="516"/>
      <c r="C39" s="516"/>
      <c r="D39" s="516"/>
      <c r="E39" s="516"/>
      <c r="F39" s="516"/>
      <c r="G39" s="516"/>
      <c r="H39" s="516"/>
      <c r="I39" s="516"/>
      <c r="J39" s="516"/>
    </row>
    <row r="40" spans="1:10" x14ac:dyDescent="0.25">
      <c r="B40" s="516"/>
      <c r="C40" s="516"/>
      <c r="D40" s="516"/>
      <c r="E40" s="516"/>
      <c r="F40" s="516"/>
      <c r="G40" s="516"/>
      <c r="H40" s="516"/>
      <c r="I40" s="516"/>
      <c r="J40" s="516"/>
    </row>
    <row r="41" spans="1:10" x14ac:dyDescent="0.25">
      <c r="B41" s="516"/>
      <c r="C41" s="516"/>
      <c r="D41" s="516"/>
      <c r="E41" s="516"/>
      <c r="F41" s="516"/>
      <c r="G41" s="516"/>
      <c r="H41" s="516"/>
      <c r="I41" s="516"/>
      <c r="J41" s="516"/>
    </row>
  </sheetData>
  <sheetProtection algorithmName="SHA-512" hashValue="ovjiqPZgYv1drDT/PpEAuNbBTMGSMHFIjP6AvtYzhSWLEQCzHGXbTZuUxAHNzdcFusdD9ClQEnHTFGNUrNQkOA==" saltValue="I4rJDVOm3fufruOgYHF9TA==" spinCount="100000" sheet="1" autoFilter="0" pivotTables="0"/>
  <mergeCells count="3">
    <mergeCell ref="A1:H1"/>
    <mergeCell ref="A33:J33"/>
    <mergeCell ref="A35:J35"/>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4" orientation="landscape" r:id="rId1"/>
  <drawing r:id="rId2"/>
  <extLst>
    <ext xmlns:x14="http://schemas.microsoft.com/office/spreadsheetml/2009/9/main" uri="{A8765BA9-456A-4dab-B4F3-ACF838C121DE}">
      <x14:slicerList>
        <x14:slicer r:id="rId3"/>
      </x14:slicerList>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39997558519241921"/>
    <pageSetUpPr fitToPage="1"/>
  </sheetPr>
  <dimension ref="A1:G49"/>
  <sheetViews>
    <sheetView showGridLines="0" workbookViewId="0">
      <pane ySplit="2" topLeftCell="A3" activePane="bottomLeft" state="frozen"/>
      <selection sqref="A1:C1"/>
      <selection pane="bottomLeft" sqref="A1:G1"/>
    </sheetView>
  </sheetViews>
  <sheetFormatPr defaultRowHeight="15" x14ac:dyDescent="0.25"/>
  <cols>
    <col min="1" max="1" width="17.140625" customWidth="1"/>
    <col min="2" max="2" width="28.7109375" customWidth="1"/>
    <col min="3" max="5" width="13" customWidth="1"/>
    <col min="6" max="6" width="10.28515625" customWidth="1"/>
  </cols>
  <sheetData>
    <row r="1" spans="1:7" ht="15.75" customHeight="1" x14ac:dyDescent="0.25">
      <c r="A1" s="993" t="s">
        <v>523</v>
      </c>
      <c r="B1" s="993"/>
      <c r="C1" s="993"/>
      <c r="D1" s="993"/>
      <c r="E1" s="993"/>
      <c r="F1" s="993"/>
      <c r="G1" s="993"/>
    </row>
    <row r="2" spans="1:7" ht="15.75" x14ac:dyDescent="0.25">
      <c r="A2" s="790" t="s">
        <v>598</v>
      </c>
      <c r="C2" s="668"/>
      <c r="D2" s="668"/>
      <c r="E2" s="668"/>
      <c r="F2" s="668"/>
      <c r="G2" s="668"/>
    </row>
    <row r="3" spans="1:7" ht="15.75" x14ac:dyDescent="0.25">
      <c r="C3" s="668"/>
      <c r="D3" s="668"/>
      <c r="E3" s="668"/>
      <c r="F3" s="668"/>
      <c r="G3" s="668"/>
    </row>
    <row r="4" spans="1:7" ht="37.5" customHeight="1" x14ac:dyDescent="0.25">
      <c r="A4" s="684" t="s">
        <v>550</v>
      </c>
      <c r="B4" s="631"/>
      <c r="C4" s="631"/>
      <c r="D4" s="631"/>
      <c r="E4" s="631"/>
    </row>
    <row r="5" spans="1:7" ht="15" customHeight="1" x14ac:dyDescent="0.25">
      <c r="A5" t="s">
        <v>368</v>
      </c>
      <c r="B5" t="s">
        <v>778</v>
      </c>
      <c r="C5" s="966"/>
      <c r="D5" s="966"/>
      <c r="E5" s="966"/>
    </row>
    <row r="6" spans="1:7" ht="15" customHeight="1" x14ac:dyDescent="0.25">
      <c r="A6" t="s">
        <v>369</v>
      </c>
      <c r="B6" t="s">
        <v>371</v>
      </c>
      <c r="C6" s="966"/>
      <c r="D6" s="966"/>
      <c r="E6" s="966"/>
    </row>
    <row r="7" spans="1:7" ht="15" customHeight="1" x14ac:dyDescent="0.25">
      <c r="A7" t="s">
        <v>370</v>
      </c>
      <c r="B7" t="s">
        <v>372</v>
      </c>
      <c r="C7" s="966"/>
      <c r="D7" s="966"/>
      <c r="E7" s="966"/>
    </row>
    <row r="8" spans="1:7" ht="33.75" customHeight="1" x14ac:dyDescent="0.25">
      <c r="B8" s="103" t="s">
        <v>222</v>
      </c>
      <c r="C8" s="98" t="s">
        <v>21</v>
      </c>
      <c r="D8" s="98" t="s">
        <v>22</v>
      </c>
      <c r="E8" s="98" t="s">
        <v>23</v>
      </c>
      <c r="F8" s="98" t="s">
        <v>26</v>
      </c>
    </row>
    <row r="9" spans="1:7" ht="22.5" customHeight="1" thickBot="1" x14ac:dyDescent="0.3">
      <c r="B9" s="99" t="s">
        <v>536</v>
      </c>
      <c r="C9" s="111">
        <f>C44</f>
        <v>37</v>
      </c>
      <c r="D9" s="111">
        <f>D44</f>
        <v>40</v>
      </c>
      <c r="E9" s="111">
        <f>E44</f>
        <v>240</v>
      </c>
      <c r="F9" s="111">
        <f>F44</f>
        <v>317</v>
      </c>
    </row>
    <row r="10" spans="1:7" ht="15" customHeight="1" x14ac:dyDescent="0.25">
      <c r="B10" s="65"/>
      <c r="C10" s="55"/>
      <c r="D10" s="55"/>
      <c r="E10" s="55"/>
      <c r="F10" s="55"/>
    </row>
    <row r="11" spans="1:7" ht="15" customHeight="1" x14ac:dyDescent="0.25">
      <c r="A11" s="53" t="s">
        <v>534</v>
      </c>
      <c r="B11" s="53" t="s">
        <v>30</v>
      </c>
      <c r="C11" s="113"/>
      <c r="D11" s="113"/>
      <c r="E11" s="113"/>
      <c r="F11" s="114"/>
    </row>
    <row r="12" spans="1:7" ht="15" customHeight="1" x14ac:dyDescent="0.25">
      <c r="A12" s="577" t="s">
        <v>306</v>
      </c>
      <c r="B12" s="56" t="s">
        <v>31</v>
      </c>
      <c r="C12" s="115">
        <f>IFERROR(GETPIVOTDATA("Sum of Watch Manager",h4cde!$A$45,"ReportingLevel","1:LA","lvl",B12),0)</f>
        <v>0</v>
      </c>
      <c r="D12" s="115">
        <f>IFERROR(GETPIVOTDATA("Sum of Crew Manager",h4cde!$A$45,"ReportingLevel","1:LA","lvl",B12),0)</f>
        <v>0</v>
      </c>
      <c r="E12" s="115">
        <f>IFERROR(GETPIVOTDATA("Sum of Firefighter",h4cde!$A$45,"ReportingLevel","1:LA","lvl",B12),0)</f>
        <v>0</v>
      </c>
      <c r="F12" s="116">
        <f>SUM(C12:E12)</f>
        <v>0</v>
      </c>
    </row>
    <row r="13" spans="1:7" ht="15" customHeight="1" x14ac:dyDescent="0.25">
      <c r="A13" s="578" t="s">
        <v>307</v>
      </c>
      <c r="B13" s="59" t="s">
        <v>32</v>
      </c>
      <c r="C13" s="115">
        <f>IFERROR(GETPIVOTDATA("Sum of Watch Manager",h4cde!$A$45,"ReportingLevel","1:LA","lvl",B13),0)</f>
        <v>0</v>
      </c>
      <c r="D13" s="115">
        <f>IFERROR(GETPIVOTDATA("Sum of Crew Manager",h4cde!$A$45,"ReportingLevel","1:LA","lvl",B13),0)</f>
        <v>0</v>
      </c>
      <c r="E13" s="115">
        <f>IFERROR(GETPIVOTDATA("Sum of Firefighter",h4cde!$A$45,"ReportingLevel","1:LA","lvl",B13),0)</f>
        <v>0</v>
      </c>
      <c r="F13" s="116">
        <f>SUM(C13:E13)</f>
        <v>0</v>
      </c>
    </row>
    <row r="14" spans="1:7" ht="15" customHeight="1" x14ac:dyDescent="0.25">
      <c r="A14" s="578" t="s">
        <v>313</v>
      </c>
      <c r="B14" s="59" t="s">
        <v>33</v>
      </c>
      <c r="C14" s="115">
        <f>IFERROR(GETPIVOTDATA("Sum of Watch Manager",h4cde!$A$45,"ReportingLevel","1:LA","lvl",B14),0)</f>
        <v>0</v>
      </c>
      <c r="D14" s="115">
        <f>IFERROR(GETPIVOTDATA("Sum of Crew Manager",h4cde!$A$45,"ReportingLevel","1:LA","lvl",B14),0)</f>
        <v>0</v>
      </c>
      <c r="E14" s="115">
        <f>IFERROR(GETPIVOTDATA("Sum of Firefighter",h4cde!$A$45,"ReportingLevel","1:LA","lvl",B14),0)</f>
        <v>0</v>
      </c>
      <c r="F14" s="116">
        <f>SUM(C14:E14)</f>
        <v>0</v>
      </c>
    </row>
    <row r="15" spans="1:7" ht="15" customHeight="1" x14ac:dyDescent="0.25">
      <c r="A15" s="578" t="s">
        <v>308</v>
      </c>
      <c r="B15" s="59" t="s">
        <v>34</v>
      </c>
      <c r="C15" s="115">
        <f>IFERROR(GETPIVOTDATA("Sum of Watch Manager",h4cde!$A$45,"ReportingLevel","1:LA","lvl",B15),0)</f>
        <v>25</v>
      </c>
      <c r="D15" s="115">
        <f>IFERROR(GETPIVOTDATA("Sum of Crew Manager",h4cde!$A$45,"ReportingLevel","1:LA","lvl",B15),0)</f>
        <v>22</v>
      </c>
      <c r="E15" s="115">
        <f>IFERROR(GETPIVOTDATA("Sum of Firefighter",h4cde!$A$45,"ReportingLevel","1:LA","lvl",B15),0)</f>
        <v>156</v>
      </c>
      <c r="F15" s="116">
        <f t="shared" ref="F15:F43" si="0">SUM(C15:E15)</f>
        <v>203</v>
      </c>
    </row>
    <row r="16" spans="1:7" ht="15" customHeight="1" x14ac:dyDescent="0.25">
      <c r="A16" s="578" t="s">
        <v>309</v>
      </c>
      <c r="B16" s="59" t="s">
        <v>262</v>
      </c>
      <c r="C16" s="115">
        <f>IFERROR(GETPIVOTDATA("Sum of Watch Manager",h4cde!$A$45,"ReportingLevel","1:LA","lvl",B16),0)</f>
        <v>0</v>
      </c>
      <c r="D16" s="115">
        <f>IFERROR(GETPIVOTDATA("Sum of Crew Manager",h4cde!$A$45,"ReportingLevel","1:LA","lvl",B16),0)</f>
        <v>0</v>
      </c>
      <c r="E16" s="115">
        <f>IFERROR(GETPIVOTDATA("Sum of Firefighter",h4cde!$A$45,"ReportingLevel","1:LA","lvl",B16),0)</f>
        <v>0</v>
      </c>
      <c r="F16" s="116">
        <f t="shared" si="0"/>
        <v>0</v>
      </c>
    </row>
    <row r="17" spans="1:6" ht="15" customHeight="1" x14ac:dyDescent="0.25">
      <c r="A17" s="578" t="s">
        <v>287</v>
      </c>
      <c r="B17" s="59" t="s">
        <v>35</v>
      </c>
      <c r="C17" s="115">
        <f>IFERROR(GETPIVOTDATA("Sum of Watch Manager",h4cde!$A$45,"ReportingLevel","1:LA","lvl",B17),0)</f>
        <v>0</v>
      </c>
      <c r="D17" s="115">
        <f>IFERROR(GETPIVOTDATA("Sum of Crew Manager",h4cde!$A$45,"ReportingLevel","1:LA","lvl",B17),0)</f>
        <v>0</v>
      </c>
      <c r="E17" s="115">
        <f>IFERROR(GETPIVOTDATA("Sum of Firefighter",h4cde!$A$45,"ReportingLevel","1:LA","lvl",B17),0)</f>
        <v>0</v>
      </c>
      <c r="F17" s="116">
        <f t="shared" si="0"/>
        <v>0</v>
      </c>
    </row>
    <row r="18" spans="1:6" ht="15" customHeight="1" x14ac:dyDescent="0.25">
      <c r="A18" s="578" t="s">
        <v>288</v>
      </c>
      <c r="B18" s="59" t="s">
        <v>36</v>
      </c>
      <c r="C18" s="115">
        <f>IFERROR(GETPIVOTDATA("Sum of Watch Manager",h4cde!$A$45,"ReportingLevel","1:LA","lvl",B18),0)</f>
        <v>1</v>
      </c>
      <c r="D18" s="115">
        <f>IFERROR(GETPIVOTDATA("Sum of Crew Manager",h4cde!$A$45,"ReportingLevel","1:LA","lvl",B18),0)</f>
        <v>0</v>
      </c>
      <c r="E18" s="115">
        <f>IFERROR(GETPIVOTDATA("Sum of Firefighter",h4cde!$A$45,"ReportingLevel","1:LA","lvl",B18),0)</f>
        <v>5</v>
      </c>
      <c r="F18" s="116">
        <f t="shared" si="0"/>
        <v>6</v>
      </c>
    </row>
    <row r="19" spans="1:6" ht="15" customHeight="1" x14ac:dyDescent="0.25">
      <c r="A19" s="578" t="s">
        <v>314</v>
      </c>
      <c r="B19" s="59" t="s">
        <v>37</v>
      </c>
      <c r="C19" s="115">
        <f>IFERROR(GETPIVOTDATA("Sum of Watch Manager",h4cde!$A$45,"ReportingLevel","1:LA","lvl",B19),0)</f>
        <v>0</v>
      </c>
      <c r="D19" s="115">
        <f>IFERROR(GETPIVOTDATA("Sum of Crew Manager",h4cde!$A$45,"ReportingLevel","1:LA","lvl",B19),0)</f>
        <v>0</v>
      </c>
      <c r="E19" s="115">
        <f>IFERROR(GETPIVOTDATA("Sum of Firefighter",h4cde!$A$45,"ReportingLevel","1:LA","lvl",B19),0)</f>
        <v>0</v>
      </c>
      <c r="F19" s="116">
        <f t="shared" si="0"/>
        <v>0</v>
      </c>
    </row>
    <row r="20" spans="1:6" ht="15" customHeight="1" x14ac:dyDescent="0.25">
      <c r="A20" s="578" t="s">
        <v>289</v>
      </c>
      <c r="B20" s="59" t="s">
        <v>38</v>
      </c>
      <c r="C20" s="115">
        <f>IFERROR(GETPIVOTDATA("Sum of Watch Manager",h4cde!$A$45,"ReportingLevel","1:LA","lvl",B20),0)</f>
        <v>0</v>
      </c>
      <c r="D20" s="115">
        <f>IFERROR(GETPIVOTDATA("Sum of Crew Manager",h4cde!$A$45,"ReportingLevel","1:LA","lvl",B20),0)</f>
        <v>0</v>
      </c>
      <c r="E20" s="115">
        <f>IFERROR(GETPIVOTDATA("Sum of Firefighter",h4cde!$A$45,"ReportingLevel","1:LA","lvl",B20),0)</f>
        <v>0</v>
      </c>
      <c r="F20" s="116">
        <f t="shared" si="0"/>
        <v>0</v>
      </c>
    </row>
    <row r="21" spans="1:6" ht="15" customHeight="1" x14ac:dyDescent="0.25">
      <c r="A21" s="578" t="s">
        <v>316</v>
      </c>
      <c r="B21" s="59" t="s">
        <v>39</v>
      </c>
      <c r="C21" s="115">
        <f>IFERROR(GETPIVOTDATA("Sum of Watch Manager",h4cde!$A$45,"ReportingLevel","1:LA","lvl",B21),0)</f>
        <v>0</v>
      </c>
      <c r="D21" s="115">
        <f>IFERROR(GETPIVOTDATA("Sum of Crew Manager",h4cde!$A$45,"ReportingLevel","1:LA","lvl",B21),0)</f>
        <v>0</v>
      </c>
      <c r="E21" s="115">
        <f>IFERROR(GETPIVOTDATA("Sum of Firefighter",h4cde!$A$45,"ReportingLevel","1:LA","lvl",B21),0)</f>
        <v>0</v>
      </c>
      <c r="F21" s="116">
        <f t="shared" si="0"/>
        <v>0</v>
      </c>
    </row>
    <row r="22" spans="1:6" ht="15" customHeight="1" x14ac:dyDescent="0.25">
      <c r="A22" s="578" t="s">
        <v>290</v>
      </c>
      <c r="B22" s="59" t="s">
        <v>40</v>
      </c>
      <c r="C22" s="115">
        <f>IFERROR(GETPIVOTDATA("Sum of Watch Manager",h4cde!$A$45,"ReportingLevel","1:LA","lvl",B22),0)</f>
        <v>0</v>
      </c>
      <c r="D22" s="115">
        <f>IFERROR(GETPIVOTDATA("Sum of Crew Manager",h4cde!$A$45,"ReportingLevel","1:LA","lvl",B22),0)</f>
        <v>0</v>
      </c>
      <c r="E22" s="115">
        <f>IFERROR(GETPIVOTDATA("Sum of Firefighter",h4cde!$A$45,"ReportingLevel","1:LA","lvl",B22),0)</f>
        <v>0</v>
      </c>
      <c r="F22" s="116">
        <f t="shared" si="0"/>
        <v>0</v>
      </c>
    </row>
    <row r="23" spans="1:6" ht="15" customHeight="1" x14ac:dyDescent="0.25">
      <c r="A23" s="578" t="s">
        <v>291</v>
      </c>
      <c r="B23" s="59" t="s">
        <v>41</v>
      </c>
      <c r="C23" s="115">
        <f>IFERROR(GETPIVOTDATA("Sum of Watch Manager",h4cde!$A$45,"ReportingLevel","1:LA","lvl",B23),0)</f>
        <v>0</v>
      </c>
      <c r="D23" s="115">
        <f>IFERROR(GETPIVOTDATA("Sum of Crew Manager",h4cde!$A$45,"ReportingLevel","1:LA","lvl",B23),0)</f>
        <v>0</v>
      </c>
      <c r="E23" s="115">
        <f>IFERROR(GETPIVOTDATA("Sum of Firefighter",h4cde!$A$45,"ReportingLevel","1:LA","lvl",B23),0)</f>
        <v>0</v>
      </c>
      <c r="F23" s="116">
        <f t="shared" si="0"/>
        <v>0</v>
      </c>
    </row>
    <row r="24" spans="1:6" ht="15" customHeight="1" x14ac:dyDescent="0.25">
      <c r="A24" s="578" t="s">
        <v>293</v>
      </c>
      <c r="B24" s="59" t="s">
        <v>42</v>
      </c>
      <c r="C24" s="115">
        <f>IFERROR(GETPIVOTDATA("Sum of Watch Manager",h4cde!$A$45,"ReportingLevel","1:LA","lvl",B24),0)</f>
        <v>0</v>
      </c>
      <c r="D24" s="115">
        <f>IFERROR(GETPIVOTDATA("Sum of Crew Manager",h4cde!$A$45,"ReportingLevel","1:LA","lvl",B24),0)</f>
        <v>0</v>
      </c>
      <c r="E24" s="115">
        <f>IFERROR(GETPIVOTDATA("Sum of Firefighter",h4cde!$A$45,"ReportingLevel","1:LA","lvl",B24),0)</f>
        <v>0</v>
      </c>
      <c r="F24" s="116">
        <f t="shared" si="0"/>
        <v>0</v>
      </c>
    </row>
    <row r="25" spans="1:6" ht="15" customHeight="1" x14ac:dyDescent="0.25">
      <c r="A25" s="578" t="s">
        <v>318</v>
      </c>
      <c r="B25" s="59" t="s">
        <v>43</v>
      </c>
      <c r="C25" s="115">
        <f>IFERROR(GETPIVOTDATA("Sum of Watch Manager",h4cde!$A$45,"ReportingLevel","1:LA","lvl",B25),0)</f>
        <v>0</v>
      </c>
      <c r="D25" s="115">
        <f>IFERROR(GETPIVOTDATA("Sum of Crew Manager",h4cde!$A$45,"ReportingLevel","1:LA","lvl",B25),0)</f>
        <v>0</v>
      </c>
      <c r="E25" s="115">
        <f>IFERROR(GETPIVOTDATA("Sum of Firefighter",h4cde!$A$45,"ReportingLevel","1:LA","lvl",B25),0)</f>
        <v>0</v>
      </c>
      <c r="F25" s="116">
        <f t="shared" si="0"/>
        <v>0</v>
      </c>
    </row>
    <row r="26" spans="1:6" ht="15" customHeight="1" x14ac:dyDescent="0.25">
      <c r="A26" s="578" t="s">
        <v>317</v>
      </c>
      <c r="B26" s="59" t="s">
        <v>124</v>
      </c>
      <c r="C26" s="115">
        <f>IFERROR(GETPIVOTDATA("Sum of Watch Manager",h4cde!$A$45,"ReportingLevel","1:LA","lvl",B26),0)</f>
        <v>0</v>
      </c>
      <c r="D26" s="115">
        <f>IFERROR(GETPIVOTDATA("Sum of Crew Manager",h4cde!$A$45,"ReportingLevel","1:LA","lvl",B26),0)</f>
        <v>0</v>
      </c>
      <c r="E26" s="115">
        <f>IFERROR(GETPIVOTDATA("Sum of Firefighter",h4cde!$A$45,"ReportingLevel","1:LA","lvl",B26),0)</f>
        <v>0</v>
      </c>
      <c r="F26" s="116">
        <f t="shared" si="0"/>
        <v>0</v>
      </c>
    </row>
    <row r="27" spans="1:6" ht="15" customHeight="1" x14ac:dyDescent="0.25">
      <c r="A27" s="578" t="s">
        <v>294</v>
      </c>
      <c r="B27" s="59" t="s">
        <v>44</v>
      </c>
      <c r="C27" s="115">
        <f>IFERROR(GETPIVOTDATA("Sum of Watch Manager",h4cde!$A$45,"ReportingLevel","1:LA","lvl",B27),0)</f>
        <v>7</v>
      </c>
      <c r="D27" s="115">
        <f>IFERROR(GETPIVOTDATA("Sum of Crew Manager",h4cde!$A$45,"ReportingLevel","1:LA","lvl",B27),0)</f>
        <v>12</v>
      </c>
      <c r="E27" s="115">
        <f>IFERROR(GETPIVOTDATA("Sum of Firefighter",h4cde!$A$45,"ReportingLevel","1:LA","lvl",B27),0)</f>
        <v>43</v>
      </c>
      <c r="F27" s="116">
        <f t="shared" si="0"/>
        <v>62</v>
      </c>
    </row>
    <row r="28" spans="1:6" ht="15" customHeight="1" x14ac:dyDescent="0.25">
      <c r="A28" s="578" t="s">
        <v>295</v>
      </c>
      <c r="B28" s="59" t="s">
        <v>45</v>
      </c>
      <c r="C28" s="115">
        <f>IFERROR(GETPIVOTDATA("Sum of Watch Manager",h4cde!$A$45,"ReportingLevel","1:LA","lvl",B28),0)</f>
        <v>0</v>
      </c>
      <c r="D28" s="115">
        <f>IFERROR(GETPIVOTDATA("Sum of Crew Manager",h4cde!$A$45,"ReportingLevel","1:LA","lvl",B28),0)</f>
        <v>0</v>
      </c>
      <c r="E28" s="115">
        <f>IFERROR(GETPIVOTDATA("Sum of Firefighter",h4cde!$A$45,"ReportingLevel","1:LA","lvl",B28),0)</f>
        <v>0</v>
      </c>
      <c r="F28" s="116">
        <f t="shared" si="0"/>
        <v>0</v>
      </c>
    </row>
    <row r="29" spans="1:6" ht="15" customHeight="1" x14ac:dyDescent="0.25">
      <c r="A29" s="578" t="s">
        <v>296</v>
      </c>
      <c r="B29" s="59" t="s">
        <v>46</v>
      </c>
      <c r="C29" s="115">
        <f>IFERROR(GETPIVOTDATA("Sum of Watch Manager",h4cde!$A$45,"ReportingLevel","1:LA","lvl",B29),0)</f>
        <v>0</v>
      </c>
      <c r="D29" s="115">
        <f>IFERROR(GETPIVOTDATA("Sum of Crew Manager",h4cde!$A$45,"ReportingLevel","1:LA","lvl",B29),0)</f>
        <v>0</v>
      </c>
      <c r="E29" s="115">
        <f>IFERROR(GETPIVOTDATA("Sum of Firefighter",h4cde!$A$45,"ReportingLevel","1:LA","lvl",B29),0)</f>
        <v>0</v>
      </c>
      <c r="F29" s="116">
        <f t="shared" si="0"/>
        <v>0</v>
      </c>
    </row>
    <row r="30" spans="1:6" ht="15" customHeight="1" x14ac:dyDescent="0.25">
      <c r="A30" s="578" t="s">
        <v>297</v>
      </c>
      <c r="B30" s="59" t="s">
        <v>47</v>
      </c>
      <c r="C30" s="115">
        <f>IFERROR(GETPIVOTDATA("Sum of Watch Manager",h4cde!$A$45,"ReportingLevel","1:LA","lvl",B30),0)</f>
        <v>0</v>
      </c>
      <c r="D30" s="115">
        <f>IFERROR(GETPIVOTDATA("Sum of Crew Manager",h4cde!$A$45,"ReportingLevel","1:LA","lvl",B30),0)</f>
        <v>0</v>
      </c>
      <c r="E30" s="115">
        <f>IFERROR(GETPIVOTDATA("Sum of Firefighter",h4cde!$A$45,"ReportingLevel","1:LA","lvl",B30),0)</f>
        <v>0</v>
      </c>
      <c r="F30" s="86">
        <f t="shared" si="0"/>
        <v>0</v>
      </c>
    </row>
    <row r="31" spans="1:6" ht="15" customHeight="1" x14ac:dyDescent="0.25">
      <c r="A31" s="578" t="s">
        <v>292</v>
      </c>
      <c r="B31" s="59" t="s">
        <v>48</v>
      </c>
      <c r="C31" s="115">
        <f>IFERROR(GETPIVOTDATA("Sum of Watch Manager",h4cde!$A$45,"ReportingLevel","1:LA","lvl",B31),0)</f>
        <v>0</v>
      </c>
      <c r="D31" s="115">
        <f>IFERROR(GETPIVOTDATA("Sum of Crew Manager",h4cde!$A$45,"ReportingLevel","1:LA","lvl",B31),0)</f>
        <v>0</v>
      </c>
      <c r="E31" s="115">
        <f>IFERROR(GETPIVOTDATA("Sum of Firefighter",h4cde!$A$45,"ReportingLevel","1:LA","lvl",B31),0)</f>
        <v>0</v>
      </c>
      <c r="F31" s="116">
        <f t="shared" si="0"/>
        <v>0</v>
      </c>
    </row>
    <row r="32" spans="1:6" ht="15" customHeight="1" x14ac:dyDescent="0.25">
      <c r="A32" s="578" t="s">
        <v>298</v>
      </c>
      <c r="B32" s="59" t="s">
        <v>49</v>
      </c>
      <c r="C32" s="115">
        <f>IFERROR(GETPIVOTDATA("Sum of Watch Manager",h4cde!$A$45,"ReportingLevel","1:LA","lvl",B32),0)</f>
        <v>3</v>
      </c>
      <c r="D32" s="115">
        <f>IFERROR(GETPIVOTDATA("Sum of Crew Manager",h4cde!$A$45,"ReportingLevel","1:LA","lvl",B32),0)</f>
        <v>3</v>
      </c>
      <c r="E32" s="115">
        <f>IFERROR(GETPIVOTDATA("Sum of Firefighter",h4cde!$A$45,"ReportingLevel","1:LA","lvl",B32),0)</f>
        <v>16</v>
      </c>
      <c r="F32" s="116">
        <f t="shared" si="0"/>
        <v>22</v>
      </c>
    </row>
    <row r="33" spans="1:6" ht="15" customHeight="1" x14ac:dyDescent="0.25">
      <c r="A33" s="578" t="s">
        <v>315</v>
      </c>
      <c r="B33" s="59" t="s">
        <v>50</v>
      </c>
      <c r="C33" s="115">
        <f>IFERROR(GETPIVOTDATA("Sum of Watch Manager",h4cde!$A$45,"ReportingLevel","1:LA","lvl",B33),0)</f>
        <v>0</v>
      </c>
      <c r="D33" s="115">
        <f>IFERROR(GETPIVOTDATA("Sum of Crew Manager",h4cde!$A$45,"ReportingLevel","1:LA","lvl",B33),0)</f>
        <v>0</v>
      </c>
      <c r="E33" s="115">
        <f>IFERROR(GETPIVOTDATA("Sum of Firefighter",h4cde!$A$45,"ReportingLevel","1:LA","lvl",B33),0)</f>
        <v>0</v>
      </c>
      <c r="F33" s="86">
        <f t="shared" si="0"/>
        <v>0</v>
      </c>
    </row>
    <row r="34" spans="1:6" ht="15" customHeight="1" x14ac:dyDescent="0.25">
      <c r="A34" s="578" t="s">
        <v>299</v>
      </c>
      <c r="B34" s="59" t="s">
        <v>51</v>
      </c>
      <c r="C34" s="115">
        <f>IFERROR(GETPIVOTDATA("Sum of Watch Manager",h4cde!$A$45,"ReportingLevel","1:LA","lvl",B34),0)</f>
        <v>0</v>
      </c>
      <c r="D34" s="115">
        <f>IFERROR(GETPIVOTDATA("Sum of Crew Manager",h4cde!$A$45,"ReportingLevel","1:LA","lvl",B34),0)</f>
        <v>0</v>
      </c>
      <c r="E34" s="115">
        <f>IFERROR(GETPIVOTDATA("Sum of Firefighter",h4cde!$A$45,"ReportingLevel","1:LA","lvl",B34),0)</f>
        <v>0</v>
      </c>
      <c r="F34" s="116">
        <f t="shared" si="0"/>
        <v>0</v>
      </c>
    </row>
    <row r="35" spans="1:6" ht="15" customHeight="1" x14ac:dyDescent="0.25">
      <c r="A35" s="578" t="s">
        <v>300</v>
      </c>
      <c r="B35" s="59" t="s">
        <v>52</v>
      </c>
      <c r="C35" s="115">
        <f>IFERROR(GETPIVOTDATA("Sum of Watch Manager",h4cde!$A$45,"ReportingLevel","1:LA","lvl",B35),0)</f>
        <v>0</v>
      </c>
      <c r="D35" s="115">
        <f>IFERROR(GETPIVOTDATA("Sum of Crew Manager",h4cde!$A$45,"ReportingLevel","1:LA","lvl",B35),0)</f>
        <v>3</v>
      </c>
      <c r="E35" s="115">
        <f>IFERROR(GETPIVOTDATA("Sum of Firefighter",h4cde!$A$45,"ReportingLevel","1:LA","lvl",B35),0)</f>
        <v>19</v>
      </c>
      <c r="F35" s="116">
        <f t="shared" si="0"/>
        <v>22</v>
      </c>
    </row>
    <row r="36" spans="1:6" ht="15" customHeight="1" x14ac:dyDescent="0.25">
      <c r="A36" s="578" t="s">
        <v>310</v>
      </c>
      <c r="B36" s="59" t="s">
        <v>53</v>
      </c>
      <c r="C36" s="115">
        <f>IFERROR(GETPIVOTDATA("Sum of Watch Manager",h4cde!$A$45,"ReportingLevel","1:LA","lvl",B36),0)</f>
        <v>0</v>
      </c>
      <c r="D36" s="115">
        <f>IFERROR(GETPIVOTDATA("Sum of Crew Manager",h4cde!$A$45,"ReportingLevel","1:LA","lvl",B36),0)</f>
        <v>0</v>
      </c>
      <c r="E36" s="115">
        <f>IFERROR(GETPIVOTDATA("Sum of Firefighter",h4cde!$A$45,"ReportingLevel","1:LA","lvl",B36),0)</f>
        <v>0</v>
      </c>
      <c r="F36" s="116">
        <f t="shared" si="0"/>
        <v>0</v>
      </c>
    </row>
    <row r="37" spans="1:6" ht="15" customHeight="1" x14ac:dyDescent="0.25">
      <c r="A37" s="578" t="s">
        <v>301</v>
      </c>
      <c r="B37" s="59" t="s">
        <v>54</v>
      </c>
      <c r="C37" s="115">
        <f>IFERROR(GETPIVOTDATA("Sum of Watch Manager",h4cde!$A$45,"ReportingLevel","1:LA","lvl",B37),0)</f>
        <v>0</v>
      </c>
      <c r="D37" s="115">
        <f>IFERROR(GETPIVOTDATA("Sum of Crew Manager",h4cde!$A$45,"ReportingLevel","1:LA","lvl",B37),0)</f>
        <v>0</v>
      </c>
      <c r="E37" s="115">
        <f>IFERROR(GETPIVOTDATA("Sum of Firefighter",h4cde!$A$45,"ReportingLevel","1:LA","lvl",B37),0)</f>
        <v>0</v>
      </c>
      <c r="F37" s="86">
        <f t="shared" si="0"/>
        <v>0</v>
      </c>
    </row>
    <row r="38" spans="1:6" ht="15" customHeight="1" x14ac:dyDescent="0.25">
      <c r="A38" s="578" t="s">
        <v>302</v>
      </c>
      <c r="B38" s="59" t="s">
        <v>55</v>
      </c>
      <c r="C38" s="115">
        <f>IFERROR(GETPIVOTDATA("Sum of Watch Manager",h4cde!$A$45,"ReportingLevel","1:LA","lvl",B38),0)</f>
        <v>0</v>
      </c>
      <c r="D38" s="115">
        <f>IFERROR(GETPIVOTDATA("Sum of Crew Manager",h4cde!$A$45,"ReportingLevel","1:LA","lvl",B38),0)</f>
        <v>0</v>
      </c>
      <c r="E38" s="115">
        <f>IFERROR(GETPIVOTDATA("Sum of Firefighter",h4cde!$A$45,"ReportingLevel","1:LA","lvl",B38),0)</f>
        <v>0</v>
      </c>
      <c r="F38" s="116">
        <f t="shared" si="0"/>
        <v>0</v>
      </c>
    </row>
    <row r="39" spans="1:6" ht="15" customHeight="1" x14ac:dyDescent="0.25">
      <c r="A39" s="578" t="s">
        <v>303</v>
      </c>
      <c r="B39" s="59" t="s">
        <v>56</v>
      </c>
      <c r="C39" s="115">
        <f>IFERROR(GETPIVOTDATA("Sum of Watch Manager",h4cde!$A$45,"ReportingLevel","1:LA","lvl",B39),0)</f>
        <v>0</v>
      </c>
      <c r="D39" s="115">
        <f>IFERROR(GETPIVOTDATA("Sum of Crew Manager",h4cde!$A$45,"ReportingLevel","1:LA","lvl",B39),0)</f>
        <v>0</v>
      </c>
      <c r="E39" s="115">
        <f>IFERROR(GETPIVOTDATA("Sum of Firefighter",h4cde!$A$45,"ReportingLevel","1:LA","lvl",B39),0)</f>
        <v>0</v>
      </c>
      <c r="F39" s="116">
        <f t="shared" si="0"/>
        <v>0</v>
      </c>
    </row>
    <row r="40" spans="1:6" ht="15" customHeight="1" x14ac:dyDescent="0.25">
      <c r="A40" s="578" t="s">
        <v>304</v>
      </c>
      <c r="B40" s="59" t="s">
        <v>57</v>
      </c>
      <c r="C40" s="115">
        <f>IFERROR(GETPIVOTDATA("Sum of Watch Manager",h4cde!$A$45,"ReportingLevel","1:LA","lvl",B40),0)</f>
        <v>1</v>
      </c>
      <c r="D40" s="115">
        <f>IFERROR(GETPIVOTDATA("Sum of Crew Manager",h4cde!$A$45,"ReportingLevel","1:LA","lvl",B40),0)</f>
        <v>0</v>
      </c>
      <c r="E40" s="115">
        <f>IFERROR(GETPIVOTDATA("Sum of Firefighter",h4cde!$A$45,"ReportingLevel","1:LA","lvl",B40),0)</f>
        <v>1</v>
      </c>
      <c r="F40" s="116">
        <f t="shared" si="0"/>
        <v>2</v>
      </c>
    </row>
    <row r="41" spans="1:6" ht="15" customHeight="1" x14ac:dyDescent="0.25">
      <c r="A41" s="578" t="s">
        <v>305</v>
      </c>
      <c r="B41" s="59" t="s">
        <v>58</v>
      </c>
      <c r="C41" s="115">
        <f>IFERROR(GETPIVOTDATA("Sum of Watch Manager",h4cde!$A$45,"ReportingLevel","1:LA","lvl",B41),0)</f>
        <v>0</v>
      </c>
      <c r="D41" s="115">
        <f>IFERROR(GETPIVOTDATA("Sum of Crew Manager",h4cde!$A$45,"ReportingLevel","1:LA","lvl",B41),0)</f>
        <v>0</v>
      </c>
      <c r="E41" s="115">
        <f>IFERROR(GETPIVOTDATA("Sum of Firefighter",h4cde!$A$45,"ReportingLevel","1:LA","lvl",B41),0)</f>
        <v>0</v>
      </c>
      <c r="F41" s="116">
        <f t="shared" si="0"/>
        <v>0</v>
      </c>
    </row>
    <row r="42" spans="1:6" ht="15" customHeight="1" x14ac:dyDescent="0.25">
      <c r="A42" s="578" t="s">
        <v>311</v>
      </c>
      <c r="B42" s="59" t="s">
        <v>59</v>
      </c>
      <c r="C42" s="115">
        <f>IFERROR(GETPIVOTDATA("Sum of Watch Manager",h4cde!$A$45,"ReportingLevel","1:LA","lvl",B42),0)</f>
        <v>0</v>
      </c>
      <c r="D42" s="115">
        <f>IFERROR(GETPIVOTDATA("Sum of Crew Manager",h4cde!$A$45,"ReportingLevel","1:LA","lvl",B42),0)</f>
        <v>0</v>
      </c>
      <c r="E42" s="115">
        <f>IFERROR(GETPIVOTDATA("Sum of Firefighter",h4cde!$A$45,"ReportingLevel","1:LA","lvl",B42),0)</f>
        <v>0</v>
      </c>
      <c r="F42" s="116">
        <f>SUM(C42:E42)</f>
        <v>0</v>
      </c>
    </row>
    <row r="43" spans="1:6" ht="15" customHeight="1" x14ac:dyDescent="0.25">
      <c r="A43" s="578" t="s">
        <v>312</v>
      </c>
      <c r="B43" s="59" t="s">
        <v>60</v>
      </c>
      <c r="C43" s="115">
        <f>IFERROR(GETPIVOTDATA("Sum of Watch Manager",h4cde!$A$45,"ReportingLevel","1:LA","lvl",B43),0)</f>
        <v>0</v>
      </c>
      <c r="D43" s="115">
        <f>IFERROR(GETPIVOTDATA("Sum of Crew Manager",h4cde!$A$45,"ReportingLevel","1:LA","lvl",B43),0)</f>
        <v>0</v>
      </c>
      <c r="E43" s="115">
        <f>IFERROR(GETPIVOTDATA("Sum of Firefighter",h4cde!$A$45,"ReportingLevel","1:LA","lvl",B43),0)</f>
        <v>0</v>
      </c>
      <c r="F43" s="116">
        <f t="shared" si="0"/>
        <v>0</v>
      </c>
    </row>
    <row r="44" spans="1:6" ht="30" customHeight="1" thickBot="1" x14ac:dyDescent="0.3">
      <c r="A44" s="690"/>
      <c r="B44" s="90" t="s">
        <v>61</v>
      </c>
      <c r="C44" s="64">
        <f>SUM(C12:C43)</f>
        <v>37</v>
      </c>
      <c r="D44" s="64">
        <f>SUM(D12:D43)</f>
        <v>40</v>
      </c>
      <c r="E44" s="64">
        <f>SUM(E12:E43)</f>
        <v>240</v>
      </c>
      <c r="F44" s="64">
        <f>SUM(F12:F43)</f>
        <v>317</v>
      </c>
    </row>
    <row r="45" spans="1:6" ht="13.5" customHeight="1" x14ac:dyDescent="0.25">
      <c r="B45" s="117"/>
      <c r="C45" s="117"/>
      <c r="D45" s="117"/>
      <c r="E45" s="117"/>
      <c r="F45" s="117"/>
    </row>
    <row r="46" spans="1:6" ht="13.5" customHeight="1" x14ac:dyDescent="0.25">
      <c r="A46" s="514" t="s">
        <v>8</v>
      </c>
      <c r="B46" s="645"/>
      <c r="C46" s="645"/>
      <c r="D46" s="645"/>
      <c r="E46" s="645"/>
    </row>
    <row r="47" spans="1:6" ht="15" customHeight="1" x14ac:dyDescent="0.25">
      <c r="A47" s="681" t="s">
        <v>237</v>
      </c>
      <c r="B47" s="634"/>
      <c r="C47" s="634"/>
      <c r="D47" s="634"/>
      <c r="E47" s="634"/>
    </row>
    <row r="48" spans="1:6" x14ac:dyDescent="0.25">
      <c r="B48" s="485"/>
      <c r="C48" s="485"/>
      <c r="D48" s="485"/>
      <c r="E48" s="485"/>
      <c r="F48" s="485"/>
    </row>
    <row r="49" spans="2:6" x14ac:dyDescent="0.25">
      <c r="B49" s="485"/>
      <c r="C49" s="485"/>
      <c r="D49" s="485"/>
      <c r="E49" s="485"/>
      <c r="F49" s="485"/>
    </row>
  </sheetData>
  <sheetProtection algorithmName="SHA-512" hashValue="PAVil8s3WTBA/rZbpbwhq3NthjsidWvaIewieZCKy/ztjAaupp03nYXb7M/2kAb+eqlrsHaM/CPpBK8JGNnwEA==" saltValue="oxTM4g89mqMOf/K6xHYw8Q==" spinCount="100000" sheet="1" scenarios="1" pivotTables="0"/>
  <mergeCells count="1">
    <mergeCell ref="A1:G1"/>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A8765BA9-456A-4dab-B4F3-ACF838C121DE}">
      <x14:slicerList>
        <x14:slicer r:id="rId3"/>
      </x14:slicerList>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39997558519241921"/>
  </sheetPr>
  <dimension ref="A1:H56"/>
  <sheetViews>
    <sheetView workbookViewId="0">
      <selection activeCell="F56" sqref="F56"/>
    </sheetView>
  </sheetViews>
  <sheetFormatPr defaultRowHeight="15" x14ac:dyDescent="0.25"/>
  <cols>
    <col min="1" max="1" width="61.7109375" bestFit="1" customWidth="1"/>
    <col min="2" max="2" width="23" customWidth="1"/>
    <col min="3" max="3" width="20.28515625" customWidth="1"/>
    <col min="4" max="4" width="21.85546875" customWidth="1"/>
    <col min="5" max="5" width="22.5703125" customWidth="1"/>
    <col min="6" max="6" width="22" bestFit="1" customWidth="1"/>
    <col min="7" max="7" width="20.7109375" customWidth="1"/>
    <col min="8" max="8" width="17.28515625" customWidth="1"/>
    <col min="9" max="54" width="10" bestFit="1" customWidth="1"/>
    <col min="55" max="55" width="11.28515625" bestFit="1" customWidth="1"/>
  </cols>
  <sheetData>
    <row r="1" spans="1:8" x14ac:dyDescent="0.25">
      <c r="A1" s="569" t="s">
        <v>250</v>
      </c>
      <c r="B1" t="s">
        <v>268</v>
      </c>
      <c r="C1" t="s">
        <v>269</v>
      </c>
      <c r="D1" t="s">
        <v>270</v>
      </c>
      <c r="E1" t="s">
        <v>271</v>
      </c>
      <c r="F1" t="s">
        <v>260</v>
      </c>
      <c r="G1" t="s">
        <v>272</v>
      </c>
      <c r="H1" t="s">
        <v>273</v>
      </c>
    </row>
    <row r="2" spans="1:8" x14ac:dyDescent="0.25">
      <c r="A2" s="986" t="s">
        <v>251</v>
      </c>
      <c r="B2" s="571"/>
      <c r="C2" s="571"/>
      <c r="D2" s="571"/>
      <c r="E2" s="571"/>
      <c r="F2" s="571">
        <v>377</v>
      </c>
      <c r="G2" s="571">
        <v>592</v>
      </c>
      <c r="H2" s="571">
        <v>1985</v>
      </c>
    </row>
    <row r="3" spans="1:8" x14ac:dyDescent="0.25">
      <c r="A3" s="573" t="s">
        <v>31</v>
      </c>
      <c r="B3" s="571"/>
      <c r="C3" s="571"/>
      <c r="D3" s="571"/>
      <c r="E3" s="571"/>
      <c r="F3" s="571">
        <v>15</v>
      </c>
      <c r="G3" s="571">
        <v>35</v>
      </c>
      <c r="H3" s="571">
        <v>103</v>
      </c>
    </row>
    <row r="4" spans="1:8" x14ac:dyDescent="0.25">
      <c r="A4" s="573" t="s">
        <v>32</v>
      </c>
      <c r="B4" s="571"/>
      <c r="C4" s="571"/>
      <c r="D4" s="571"/>
      <c r="E4" s="571"/>
      <c r="F4" s="571">
        <v>5</v>
      </c>
      <c r="G4" s="571">
        <v>5</v>
      </c>
      <c r="H4" s="571">
        <v>20</v>
      </c>
    </row>
    <row r="5" spans="1:8" x14ac:dyDescent="0.25">
      <c r="A5" s="573" t="s">
        <v>33</v>
      </c>
      <c r="B5" s="571"/>
      <c r="C5" s="571"/>
      <c r="D5" s="571"/>
      <c r="E5" s="571"/>
      <c r="F5" s="571">
        <v>5</v>
      </c>
      <c r="G5" s="571">
        <v>5</v>
      </c>
      <c r="H5" s="571">
        <v>18</v>
      </c>
    </row>
    <row r="6" spans="1:8" x14ac:dyDescent="0.25">
      <c r="A6" s="573" t="s">
        <v>34</v>
      </c>
      <c r="B6" s="571"/>
      <c r="C6" s="571"/>
      <c r="D6" s="571"/>
      <c r="E6" s="571"/>
      <c r="F6" s="571">
        <v>10</v>
      </c>
      <c r="G6" s="571">
        <v>11</v>
      </c>
      <c r="H6" s="571">
        <v>33</v>
      </c>
    </row>
    <row r="7" spans="1:8" x14ac:dyDescent="0.25">
      <c r="A7" s="573" t="s">
        <v>262</v>
      </c>
      <c r="B7" s="571"/>
      <c r="C7" s="571"/>
      <c r="D7" s="571"/>
      <c r="E7" s="571"/>
      <c r="F7" s="571">
        <v>35</v>
      </c>
      <c r="G7" s="571">
        <v>59</v>
      </c>
      <c r="H7" s="571">
        <v>203</v>
      </c>
    </row>
    <row r="8" spans="1:8" x14ac:dyDescent="0.25">
      <c r="A8" s="573" t="s">
        <v>35</v>
      </c>
      <c r="B8" s="571"/>
      <c r="C8" s="571"/>
      <c r="D8" s="571"/>
      <c r="E8" s="571"/>
      <c r="F8" s="571">
        <v>5</v>
      </c>
      <c r="G8" s="571">
        <v>5</v>
      </c>
      <c r="H8" s="571">
        <v>15</v>
      </c>
    </row>
    <row r="9" spans="1:8" x14ac:dyDescent="0.25">
      <c r="A9" s="573" t="s">
        <v>36</v>
      </c>
      <c r="B9" s="571"/>
      <c r="C9" s="571"/>
      <c r="D9" s="571"/>
      <c r="E9" s="571"/>
      <c r="F9" s="571">
        <v>5</v>
      </c>
      <c r="G9" s="571">
        <v>10</v>
      </c>
      <c r="H9" s="571">
        <v>38</v>
      </c>
    </row>
    <row r="10" spans="1:8" x14ac:dyDescent="0.25">
      <c r="A10" s="573" t="s">
        <v>37</v>
      </c>
      <c r="B10" s="571"/>
      <c r="C10" s="571"/>
      <c r="D10" s="571"/>
      <c r="E10" s="571"/>
      <c r="F10" s="571">
        <v>20</v>
      </c>
      <c r="G10" s="571">
        <v>35</v>
      </c>
      <c r="H10" s="571">
        <v>122</v>
      </c>
    </row>
    <row r="11" spans="1:8" x14ac:dyDescent="0.25">
      <c r="A11" s="573" t="s">
        <v>38</v>
      </c>
      <c r="B11" s="571"/>
      <c r="C11" s="571"/>
      <c r="D11" s="571"/>
      <c r="E11" s="571"/>
      <c r="F11" s="571">
        <v>5</v>
      </c>
      <c r="G11" s="571">
        <v>10</v>
      </c>
      <c r="H11" s="571">
        <v>32</v>
      </c>
    </row>
    <row r="12" spans="1:8" x14ac:dyDescent="0.25">
      <c r="A12" s="573" t="s">
        <v>39</v>
      </c>
      <c r="B12" s="571"/>
      <c r="C12" s="571"/>
      <c r="D12" s="571"/>
      <c r="E12" s="571"/>
      <c r="F12" s="571">
        <v>16</v>
      </c>
      <c r="G12" s="571">
        <v>15</v>
      </c>
      <c r="H12" s="571">
        <v>47</v>
      </c>
    </row>
    <row r="13" spans="1:8" x14ac:dyDescent="0.25">
      <c r="A13" s="573" t="s">
        <v>40</v>
      </c>
      <c r="B13" s="571"/>
      <c r="C13" s="571"/>
      <c r="D13" s="571"/>
      <c r="E13" s="571"/>
      <c r="F13" s="571">
        <v>5</v>
      </c>
      <c r="G13" s="571">
        <v>5</v>
      </c>
      <c r="H13" s="571">
        <v>14</v>
      </c>
    </row>
    <row r="14" spans="1:8" x14ac:dyDescent="0.25">
      <c r="A14" s="573" t="s">
        <v>41</v>
      </c>
      <c r="B14" s="571"/>
      <c r="C14" s="571"/>
      <c r="D14" s="571"/>
      <c r="E14" s="571"/>
      <c r="F14" s="571">
        <v>11</v>
      </c>
      <c r="G14" s="571">
        <v>10</v>
      </c>
      <c r="H14" s="571">
        <v>31</v>
      </c>
    </row>
    <row r="15" spans="1:8" x14ac:dyDescent="0.25">
      <c r="A15" s="573" t="s">
        <v>42</v>
      </c>
      <c r="B15" s="571"/>
      <c r="C15" s="571"/>
      <c r="D15" s="571"/>
      <c r="E15" s="571"/>
      <c r="F15" s="571">
        <v>15</v>
      </c>
      <c r="G15" s="571">
        <v>20</v>
      </c>
      <c r="H15" s="571">
        <v>53</v>
      </c>
    </row>
    <row r="16" spans="1:8" x14ac:dyDescent="0.25">
      <c r="A16" s="573" t="s">
        <v>43</v>
      </c>
      <c r="B16" s="571"/>
      <c r="C16" s="571"/>
      <c r="D16" s="571"/>
      <c r="E16" s="571"/>
      <c r="F16" s="571">
        <v>27</v>
      </c>
      <c r="G16" s="571">
        <v>48</v>
      </c>
      <c r="H16" s="571">
        <v>199</v>
      </c>
    </row>
    <row r="17" spans="1:8" x14ac:dyDescent="0.25">
      <c r="A17" s="573" t="s">
        <v>124</v>
      </c>
      <c r="B17" s="571"/>
      <c r="C17" s="571"/>
      <c r="D17" s="571"/>
      <c r="E17" s="571"/>
      <c r="F17" s="571">
        <v>56</v>
      </c>
      <c r="G17" s="571">
        <v>110</v>
      </c>
      <c r="H17" s="571">
        <v>349</v>
      </c>
    </row>
    <row r="18" spans="1:8" x14ac:dyDescent="0.25">
      <c r="A18" s="573" t="s">
        <v>44</v>
      </c>
      <c r="B18" s="571"/>
      <c r="C18" s="571"/>
      <c r="D18" s="571"/>
      <c r="E18" s="571"/>
      <c r="F18" s="571">
        <v>5</v>
      </c>
      <c r="G18" s="571">
        <v>15</v>
      </c>
      <c r="H18" s="571">
        <v>50</v>
      </c>
    </row>
    <row r="19" spans="1:8" x14ac:dyDescent="0.25">
      <c r="A19" s="573" t="s">
        <v>45</v>
      </c>
      <c r="B19" s="571"/>
      <c r="C19" s="571"/>
      <c r="D19" s="571"/>
      <c r="E19" s="571"/>
      <c r="F19" s="571">
        <v>10</v>
      </c>
      <c r="G19" s="571">
        <v>15</v>
      </c>
      <c r="H19" s="571">
        <v>47</v>
      </c>
    </row>
    <row r="20" spans="1:8" x14ac:dyDescent="0.25">
      <c r="A20" s="573" t="s">
        <v>46</v>
      </c>
      <c r="B20" s="571"/>
      <c r="C20" s="571"/>
      <c r="D20" s="571"/>
      <c r="E20" s="571"/>
      <c r="F20" s="571">
        <v>5</v>
      </c>
      <c r="G20" s="571">
        <v>4</v>
      </c>
      <c r="H20" s="571">
        <v>17</v>
      </c>
    </row>
    <row r="21" spans="1:8" x14ac:dyDescent="0.25">
      <c r="A21" s="573" t="s">
        <v>47</v>
      </c>
      <c r="B21" s="571"/>
      <c r="C21" s="571"/>
      <c r="D21" s="571"/>
      <c r="E21" s="571"/>
      <c r="F21" s="571">
        <v>5</v>
      </c>
      <c r="G21" s="571">
        <v>5</v>
      </c>
      <c r="H21" s="571">
        <v>20</v>
      </c>
    </row>
    <row r="22" spans="1:8" x14ac:dyDescent="0.25">
      <c r="A22" s="573" t="s">
        <v>49</v>
      </c>
      <c r="B22" s="571"/>
      <c r="C22" s="571"/>
      <c r="D22" s="571"/>
      <c r="E22" s="571"/>
      <c r="F22" s="571">
        <v>16</v>
      </c>
      <c r="G22" s="571">
        <v>15</v>
      </c>
      <c r="H22" s="571">
        <v>45</v>
      </c>
    </row>
    <row r="23" spans="1:8" x14ac:dyDescent="0.25">
      <c r="A23" s="573" t="s">
        <v>50</v>
      </c>
      <c r="B23" s="571"/>
      <c r="C23" s="571"/>
      <c r="D23" s="571"/>
      <c r="E23" s="571"/>
      <c r="F23" s="571">
        <v>20</v>
      </c>
      <c r="G23" s="571">
        <v>35</v>
      </c>
      <c r="H23" s="571">
        <v>111</v>
      </c>
    </row>
    <row r="24" spans="1:8" x14ac:dyDescent="0.25">
      <c r="A24" s="573" t="s">
        <v>52</v>
      </c>
      <c r="B24" s="571"/>
      <c r="C24" s="571"/>
      <c r="D24" s="571"/>
      <c r="E24" s="571"/>
      <c r="F24" s="571">
        <v>5</v>
      </c>
      <c r="G24" s="571">
        <v>10</v>
      </c>
      <c r="H24" s="571">
        <v>54</v>
      </c>
    </row>
    <row r="25" spans="1:8" x14ac:dyDescent="0.25">
      <c r="A25" s="573" t="s">
        <v>53</v>
      </c>
      <c r="B25" s="571"/>
      <c r="C25" s="571"/>
      <c r="D25" s="571"/>
      <c r="E25" s="571"/>
      <c r="F25" s="571">
        <v>16</v>
      </c>
      <c r="G25" s="571">
        <v>18</v>
      </c>
      <c r="H25" s="571">
        <v>65</v>
      </c>
    </row>
    <row r="26" spans="1:8" x14ac:dyDescent="0.25">
      <c r="A26" s="573" t="s">
        <v>54</v>
      </c>
      <c r="B26" s="571"/>
      <c r="C26" s="571"/>
      <c r="D26" s="571"/>
      <c r="E26" s="571"/>
      <c r="F26" s="571">
        <v>10</v>
      </c>
      <c r="G26" s="571">
        <v>10</v>
      </c>
      <c r="H26" s="571">
        <v>36</v>
      </c>
    </row>
    <row r="27" spans="1:8" x14ac:dyDescent="0.25">
      <c r="A27" s="573" t="s">
        <v>56</v>
      </c>
      <c r="B27" s="571"/>
      <c r="C27" s="571"/>
      <c r="D27" s="571"/>
      <c r="E27" s="571"/>
      <c r="F27" s="571">
        <v>5</v>
      </c>
      <c r="G27" s="571">
        <v>11</v>
      </c>
      <c r="H27" s="571">
        <v>34</v>
      </c>
    </row>
    <row r="28" spans="1:8" x14ac:dyDescent="0.25">
      <c r="A28" s="573" t="s">
        <v>57</v>
      </c>
      <c r="B28" s="571"/>
      <c r="C28" s="571"/>
      <c r="D28" s="571"/>
      <c r="E28" s="571"/>
      <c r="F28" s="571">
        <v>20</v>
      </c>
      <c r="G28" s="571">
        <v>36</v>
      </c>
      <c r="H28" s="571">
        <v>111</v>
      </c>
    </row>
    <row r="29" spans="1:8" x14ac:dyDescent="0.25">
      <c r="A29" s="573" t="s">
        <v>58</v>
      </c>
      <c r="B29" s="571"/>
      <c r="C29" s="571"/>
      <c r="D29" s="571"/>
      <c r="E29" s="571"/>
      <c r="F29" s="571">
        <v>5</v>
      </c>
      <c r="G29" s="571">
        <v>10</v>
      </c>
      <c r="H29" s="571">
        <v>34</v>
      </c>
    </row>
    <row r="30" spans="1:8" x14ac:dyDescent="0.25">
      <c r="A30" s="573" t="s">
        <v>59</v>
      </c>
      <c r="B30" s="571"/>
      <c r="C30" s="571"/>
      <c r="D30" s="571"/>
      <c r="E30" s="571"/>
      <c r="F30" s="571">
        <v>10</v>
      </c>
      <c r="G30" s="571">
        <v>15</v>
      </c>
      <c r="H30" s="571">
        <v>48</v>
      </c>
    </row>
    <row r="31" spans="1:8" x14ac:dyDescent="0.25">
      <c r="A31" s="573" t="s">
        <v>60</v>
      </c>
      <c r="B31" s="571"/>
      <c r="C31" s="571"/>
      <c r="D31" s="571"/>
      <c r="E31" s="571"/>
      <c r="F31" s="571">
        <v>10</v>
      </c>
      <c r="G31" s="571">
        <v>10</v>
      </c>
      <c r="H31" s="571">
        <v>36</v>
      </c>
    </row>
    <row r="32" spans="1:8" x14ac:dyDescent="0.25">
      <c r="A32" s="986" t="s">
        <v>252</v>
      </c>
      <c r="B32" s="571"/>
      <c r="C32" s="571">
        <v>16</v>
      </c>
      <c r="D32" s="571">
        <v>49</v>
      </c>
      <c r="E32" s="571">
        <v>115</v>
      </c>
      <c r="F32" s="571">
        <v>124</v>
      </c>
      <c r="G32" s="571">
        <v>54</v>
      </c>
      <c r="H32" s="571">
        <v>30</v>
      </c>
    </row>
    <row r="33" spans="1:8" x14ac:dyDescent="0.25">
      <c r="A33" s="573" t="s">
        <v>31</v>
      </c>
      <c r="B33" s="571"/>
      <c r="C33" s="571">
        <v>1</v>
      </c>
      <c r="D33" s="571">
        <v>2</v>
      </c>
      <c r="E33" s="571">
        <v>4</v>
      </c>
      <c r="F33" s="571">
        <v>6</v>
      </c>
      <c r="G33" s="571">
        <v>2</v>
      </c>
      <c r="H33" s="571">
        <v>2</v>
      </c>
    </row>
    <row r="34" spans="1:8" x14ac:dyDescent="0.25">
      <c r="A34" s="573" t="s">
        <v>64</v>
      </c>
      <c r="B34" s="571"/>
      <c r="C34" s="571">
        <v>1</v>
      </c>
      <c r="D34" s="571">
        <v>2</v>
      </c>
      <c r="E34" s="571">
        <v>8</v>
      </c>
      <c r="F34" s="571">
        <v>8</v>
      </c>
      <c r="G34" s="571">
        <v>6</v>
      </c>
      <c r="H34" s="571"/>
    </row>
    <row r="35" spans="1:8" x14ac:dyDescent="0.25">
      <c r="A35" s="573" t="s">
        <v>65</v>
      </c>
      <c r="B35" s="571"/>
      <c r="C35" s="571">
        <v>1</v>
      </c>
      <c r="D35" s="571">
        <v>3</v>
      </c>
      <c r="E35" s="571">
        <v>8</v>
      </c>
      <c r="F35" s="571">
        <v>6</v>
      </c>
      <c r="G35" s="571">
        <v>6</v>
      </c>
      <c r="H35" s="571">
        <v>2</v>
      </c>
    </row>
    <row r="36" spans="1:8" x14ac:dyDescent="0.25">
      <c r="A36" s="573" t="s">
        <v>36</v>
      </c>
      <c r="B36" s="571"/>
      <c r="C36" s="571">
        <v>1</v>
      </c>
      <c r="D36" s="571">
        <v>2</v>
      </c>
      <c r="E36" s="571">
        <v>6</v>
      </c>
      <c r="F36" s="571">
        <v>7</v>
      </c>
      <c r="G36" s="571">
        <v>4</v>
      </c>
      <c r="H36" s="571">
        <v>2</v>
      </c>
    </row>
    <row r="37" spans="1:8" x14ac:dyDescent="0.25">
      <c r="A37" s="573" t="s">
        <v>67</v>
      </c>
      <c r="B37" s="571"/>
      <c r="C37" s="571">
        <v>1</v>
      </c>
      <c r="D37" s="571">
        <v>4</v>
      </c>
      <c r="E37" s="571">
        <v>8</v>
      </c>
      <c r="F37" s="571">
        <v>11</v>
      </c>
      <c r="G37" s="571">
        <v>3</v>
      </c>
      <c r="H37" s="571">
        <v>2</v>
      </c>
    </row>
    <row r="38" spans="1:8" x14ac:dyDescent="0.25">
      <c r="A38" s="573" t="s">
        <v>68</v>
      </c>
      <c r="B38" s="571"/>
      <c r="C38" s="571">
        <v>1</v>
      </c>
      <c r="D38" s="571">
        <v>3</v>
      </c>
      <c r="E38" s="571">
        <v>9</v>
      </c>
      <c r="F38" s="571">
        <v>8</v>
      </c>
      <c r="G38" s="571">
        <v>2</v>
      </c>
      <c r="H38" s="571">
        <v>2</v>
      </c>
    </row>
    <row r="39" spans="1:8" x14ac:dyDescent="0.25">
      <c r="A39" s="573" t="s">
        <v>69</v>
      </c>
      <c r="B39" s="571"/>
      <c r="C39" s="571">
        <v>1</v>
      </c>
      <c r="D39" s="571">
        <v>3</v>
      </c>
      <c r="E39" s="571">
        <v>7</v>
      </c>
      <c r="F39" s="571">
        <v>9</v>
      </c>
      <c r="G39" s="571">
        <v>2</v>
      </c>
      <c r="H39" s="571">
        <v>3</v>
      </c>
    </row>
    <row r="40" spans="1:8" x14ac:dyDescent="0.25">
      <c r="A40" s="573" t="s">
        <v>70</v>
      </c>
      <c r="B40" s="571"/>
      <c r="C40" s="571">
        <v>1</v>
      </c>
      <c r="D40" s="571">
        <v>4</v>
      </c>
      <c r="E40" s="571">
        <v>4</v>
      </c>
      <c r="F40" s="571">
        <v>3</v>
      </c>
      <c r="G40" s="571"/>
      <c r="H40" s="571">
        <v>2</v>
      </c>
    </row>
    <row r="41" spans="1:8" x14ac:dyDescent="0.25">
      <c r="A41" s="573" t="s">
        <v>178</v>
      </c>
      <c r="B41" s="571"/>
      <c r="C41" s="571">
        <v>1</v>
      </c>
      <c r="D41" s="571">
        <v>5</v>
      </c>
      <c r="E41" s="571">
        <v>4</v>
      </c>
      <c r="F41" s="571">
        <v>12</v>
      </c>
      <c r="G41" s="571">
        <v>5</v>
      </c>
      <c r="H41" s="571">
        <v>3</v>
      </c>
    </row>
    <row r="42" spans="1:8" x14ac:dyDescent="0.25">
      <c r="A42" s="573" t="s">
        <v>71</v>
      </c>
      <c r="B42" s="571"/>
      <c r="C42" s="571">
        <v>1</v>
      </c>
      <c r="D42" s="571">
        <v>2</v>
      </c>
      <c r="E42" s="571">
        <v>6</v>
      </c>
      <c r="F42" s="571">
        <v>6</v>
      </c>
      <c r="G42" s="571">
        <v>3</v>
      </c>
      <c r="H42" s="571">
        <v>2</v>
      </c>
    </row>
    <row r="43" spans="1:8" x14ac:dyDescent="0.25">
      <c r="A43" s="573" t="s">
        <v>43</v>
      </c>
      <c r="B43" s="571"/>
      <c r="C43" s="571"/>
      <c r="D43" s="571">
        <v>2</v>
      </c>
      <c r="E43" s="571">
        <v>6</v>
      </c>
      <c r="F43" s="571">
        <v>6</v>
      </c>
      <c r="G43" s="571"/>
      <c r="H43" s="571">
        <v>4</v>
      </c>
    </row>
    <row r="44" spans="1:8" x14ac:dyDescent="0.25">
      <c r="A44" s="573" t="s">
        <v>124</v>
      </c>
      <c r="B44" s="571"/>
      <c r="C44" s="571">
        <v>1</v>
      </c>
      <c r="D44" s="571">
        <v>4</v>
      </c>
      <c r="E44" s="571">
        <v>9</v>
      </c>
      <c r="F44" s="571">
        <v>7</v>
      </c>
      <c r="G44" s="571">
        <v>2</v>
      </c>
      <c r="H44" s="571">
        <v>2</v>
      </c>
    </row>
    <row r="45" spans="1:8" x14ac:dyDescent="0.25">
      <c r="A45" s="573" t="s">
        <v>72</v>
      </c>
      <c r="B45" s="571"/>
      <c r="C45" s="571">
        <v>1</v>
      </c>
      <c r="D45" s="571">
        <v>4</v>
      </c>
      <c r="E45" s="571">
        <v>14</v>
      </c>
      <c r="F45" s="571">
        <v>16</v>
      </c>
      <c r="G45" s="571">
        <v>9</v>
      </c>
      <c r="H45" s="571">
        <v>1</v>
      </c>
    </row>
    <row r="46" spans="1:8" x14ac:dyDescent="0.25">
      <c r="A46" s="573" t="s">
        <v>50</v>
      </c>
      <c r="B46" s="571"/>
      <c r="C46" s="571">
        <v>1</v>
      </c>
      <c r="D46" s="571">
        <v>2</v>
      </c>
      <c r="E46" s="571">
        <v>5</v>
      </c>
      <c r="F46" s="571">
        <v>6</v>
      </c>
      <c r="G46" s="571">
        <v>2</v>
      </c>
      <c r="H46" s="571">
        <v>1</v>
      </c>
    </row>
    <row r="47" spans="1:8" x14ac:dyDescent="0.25">
      <c r="A47" s="573" t="s">
        <v>57</v>
      </c>
      <c r="B47" s="571"/>
      <c r="C47" s="571">
        <v>1</v>
      </c>
      <c r="D47" s="571">
        <v>2</v>
      </c>
      <c r="E47" s="571">
        <v>6</v>
      </c>
      <c r="F47" s="571">
        <v>4</v>
      </c>
      <c r="G47" s="571">
        <v>2</v>
      </c>
      <c r="H47" s="571">
        <v>1</v>
      </c>
    </row>
    <row r="48" spans="1:8" x14ac:dyDescent="0.25">
      <c r="A48" s="573" t="s">
        <v>73</v>
      </c>
      <c r="B48" s="571"/>
      <c r="C48" s="571">
        <v>1</v>
      </c>
      <c r="D48" s="571">
        <v>2</v>
      </c>
      <c r="E48" s="571">
        <v>6</v>
      </c>
      <c r="F48" s="571">
        <v>5</v>
      </c>
      <c r="G48" s="571">
        <v>3</v>
      </c>
      <c r="H48" s="571">
        <v>1</v>
      </c>
    </row>
    <row r="49" spans="1:8" x14ac:dyDescent="0.25">
      <c r="A49" s="573" t="s">
        <v>74</v>
      </c>
      <c r="B49" s="571"/>
      <c r="C49" s="571">
        <v>1</v>
      </c>
      <c r="D49" s="571">
        <v>3</v>
      </c>
      <c r="E49" s="571">
        <v>5</v>
      </c>
      <c r="F49" s="571">
        <v>4</v>
      </c>
      <c r="G49" s="571">
        <v>3</v>
      </c>
      <c r="H49" s="571"/>
    </row>
    <row r="50" spans="1:8" x14ac:dyDescent="0.25">
      <c r="A50" s="986" t="s">
        <v>253</v>
      </c>
      <c r="B50" s="571"/>
      <c r="C50" s="571">
        <v>3</v>
      </c>
      <c r="D50" s="571">
        <v>14</v>
      </c>
      <c r="E50" s="571">
        <v>24</v>
      </c>
      <c r="F50" s="571">
        <v>64</v>
      </c>
      <c r="G50" s="571">
        <v>41</v>
      </c>
      <c r="H50" s="571"/>
    </row>
    <row r="51" spans="1:8" x14ac:dyDescent="0.25">
      <c r="A51" s="573" t="s">
        <v>177</v>
      </c>
      <c r="B51" s="571"/>
      <c r="C51" s="571">
        <v>1</v>
      </c>
      <c r="D51" s="571">
        <v>5</v>
      </c>
      <c r="E51" s="571">
        <v>5</v>
      </c>
      <c r="F51" s="571">
        <v>18</v>
      </c>
      <c r="G51" s="571">
        <v>8</v>
      </c>
      <c r="H51" s="571"/>
    </row>
    <row r="52" spans="1:8" x14ac:dyDescent="0.25">
      <c r="A52" s="573" t="s">
        <v>175</v>
      </c>
      <c r="B52" s="571"/>
      <c r="C52" s="571">
        <v>1</v>
      </c>
      <c r="D52" s="571">
        <v>4</v>
      </c>
      <c r="E52" s="571">
        <v>7</v>
      </c>
      <c r="F52" s="571">
        <v>11</v>
      </c>
      <c r="G52" s="571">
        <v>7</v>
      </c>
      <c r="H52" s="571"/>
    </row>
    <row r="53" spans="1:8" x14ac:dyDescent="0.25">
      <c r="A53" s="573" t="s">
        <v>176</v>
      </c>
      <c r="B53" s="571"/>
      <c r="C53" s="571">
        <v>1</v>
      </c>
      <c r="D53" s="571">
        <v>5</v>
      </c>
      <c r="E53" s="571">
        <v>12</v>
      </c>
      <c r="F53" s="571">
        <v>35</v>
      </c>
      <c r="G53" s="571">
        <v>26</v>
      </c>
      <c r="H53" s="571"/>
    </row>
    <row r="54" spans="1:8" x14ac:dyDescent="0.25">
      <c r="A54" s="986" t="s">
        <v>254</v>
      </c>
      <c r="B54" s="571">
        <v>4</v>
      </c>
      <c r="C54" s="571">
        <v>14</v>
      </c>
      <c r="D54" s="571">
        <v>17</v>
      </c>
      <c r="E54" s="571">
        <v>8</v>
      </c>
      <c r="F54" s="571">
        <v>46</v>
      </c>
      <c r="G54" s="571"/>
      <c r="H54" s="571">
        <v>60</v>
      </c>
    </row>
    <row r="55" spans="1:8" x14ac:dyDescent="0.25">
      <c r="A55" s="573" t="s">
        <v>263</v>
      </c>
      <c r="B55" s="571">
        <v>4</v>
      </c>
      <c r="C55" s="571">
        <v>14</v>
      </c>
      <c r="D55" s="571">
        <v>17</v>
      </c>
      <c r="E55" s="571">
        <v>8</v>
      </c>
      <c r="F55" s="571">
        <v>46</v>
      </c>
      <c r="G55" s="571"/>
      <c r="H55" s="571">
        <v>60</v>
      </c>
    </row>
    <row r="56" spans="1:8" x14ac:dyDescent="0.25">
      <c r="A56" s="986" t="s">
        <v>255</v>
      </c>
      <c r="B56" s="571">
        <v>4</v>
      </c>
      <c r="C56" s="571">
        <v>33</v>
      </c>
      <c r="D56" s="571">
        <v>80</v>
      </c>
      <c r="E56" s="571">
        <v>147</v>
      </c>
      <c r="F56" s="571">
        <v>611</v>
      </c>
      <c r="G56" s="571">
        <v>687</v>
      </c>
      <c r="H56" s="571">
        <v>2075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39997558519241921"/>
  </sheetPr>
  <dimension ref="A1:I35"/>
  <sheetViews>
    <sheetView topLeftCell="A10" workbookViewId="0"/>
  </sheetViews>
  <sheetFormatPr defaultRowHeight="15" x14ac:dyDescent="0.25"/>
  <cols>
    <col min="1" max="1" width="13.140625" customWidth="1"/>
    <col min="2" max="2" width="23" customWidth="1"/>
    <col min="3" max="3" width="20.28515625" customWidth="1"/>
    <col min="4" max="4" width="21.85546875" customWidth="1"/>
    <col min="5" max="5" width="22.5703125" customWidth="1"/>
    <col min="6" max="6" width="22" customWidth="1"/>
    <col min="7" max="7" width="20.7109375" customWidth="1"/>
    <col min="8" max="8" width="17.28515625" customWidth="1"/>
    <col min="9" max="9" width="12" bestFit="1" customWidth="1"/>
    <col min="10" max="10" width="9.85546875" customWidth="1"/>
    <col min="11" max="11" width="16.5703125" customWidth="1"/>
    <col min="13" max="13" width="15.5703125" customWidth="1"/>
    <col min="14" max="14" width="18.140625" customWidth="1"/>
    <col min="15" max="15" width="16" customWidth="1"/>
    <col min="16" max="16" width="12.5703125" customWidth="1"/>
    <col min="17" max="17" width="17" customWidth="1"/>
    <col min="18" max="18" width="17.7109375" customWidth="1"/>
    <col min="19" max="19" width="17.140625" customWidth="1"/>
  </cols>
  <sheetData>
    <row r="1" spans="1:7" x14ac:dyDescent="0.25">
      <c r="A1" s="569" t="s">
        <v>249</v>
      </c>
      <c r="B1" t="s">
        <v>258</v>
      </c>
    </row>
    <row r="3" spans="1:7" x14ac:dyDescent="0.25">
      <c r="A3" s="569" t="s">
        <v>250</v>
      </c>
      <c r="B3" t="s">
        <v>257</v>
      </c>
      <c r="C3" t="s">
        <v>264</v>
      </c>
      <c r="D3" t="s">
        <v>265</v>
      </c>
      <c r="E3" t="s">
        <v>266</v>
      </c>
      <c r="F3" t="s">
        <v>267</v>
      </c>
      <c r="G3" t="s">
        <v>256</v>
      </c>
    </row>
    <row r="4" spans="1:7" x14ac:dyDescent="0.25">
      <c r="A4" s="986" t="s">
        <v>251</v>
      </c>
      <c r="B4" s="571">
        <v>2954</v>
      </c>
      <c r="C4" s="571">
        <v>2953</v>
      </c>
      <c r="D4" s="571"/>
      <c r="E4" s="571"/>
      <c r="F4" s="571">
        <v>317</v>
      </c>
      <c r="G4" s="571">
        <v>6224</v>
      </c>
    </row>
    <row r="5" spans="1:7" x14ac:dyDescent="0.25">
      <c r="A5" s="986" t="s">
        <v>252</v>
      </c>
      <c r="B5" s="571">
        <v>388</v>
      </c>
      <c r="C5" s="571"/>
      <c r="D5" s="571"/>
      <c r="E5" s="571"/>
      <c r="F5" s="571"/>
      <c r="G5" s="571">
        <v>388</v>
      </c>
    </row>
    <row r="6" spans="1:7" x14ac:dyDescent="0.25">
      <c r="A6" s="986" t="s">
        <v>253</v>
      </c>
      <c r="B6" s="571">
        <v>146</v>
      </c>
      <c r="C6" s="571"/>
      <c r="D6" s="571"/>
      <c r="E6" s="571">
        <v>489</v>
      </c>
      <c r="F6" s="571"/>
      <c r="G6" s="571">
        <v>635</v>
      </c>
    </row>
    <row r="7" spans="1:7" x14ac:dyDescent="0.25">
      <c r="A7" s="986" t="s">
        <v>254</v>
      </c>
      <c r="B7" s="571">
        <v>149</v>
      </c>
      <c r="C7" s="571"/>
      <c r="D7" s="571">
        <v>207</v>
      </c>
      <c r="E7" s="571">
        <v>303</v>
      </c>
      <c r="F7" s="571"/>
      <c r="G7" s="571">
        <v>659</v>
      </c>
    </row>
    <row r="8" spans="1:7" x14ac:dyDescent="0.25">
      <c r="A8" s="986" t="s">
        <v>255</v>
      </c>
      <c r="B8" s="571">
        <v>3637</v>
      </c>
      <c r="C8" s="571">
        <v>2953</v>
      </c>
      <c r="D8" s="571">
        <v>207</v>
      </c>
      <c r="E8" s="571">
        <v>792</v>
      </c>
      <c r="F8" s="571">
        <v>317</v>
      </c>
      <c r="G8" s="571">
        <v>7906</v>
      </c>
    </row>
    <row r="18" spans="1:9" x14ac:dyDescent="0.25">
      <c r="A18" s="569" t="s">
        <v>249</v>
      </c>
      <c r="B18" t="s">
        <v>258</v>
      </c>
    </row>
    <row r="20" spans="1:9" x14ac:dyDescent="0.25">
      <c r="A20" s="569" t="s">
        <v>250</v>
      </c>
      <c r="B20" t="s">
        <v>268</v>
      </c>
      <c r="C20" t="s">
        <v>269</v>
      </c>
      <c r="D20" t="s">
        <v>270</v>
      </c>
      <c r="E20" t="s">
        <v>271</v>
      </c>
      <c r="F20" t="s">
        <v>260</v>
      </c>
      <c r="G20" t="s">
        <v>272</v>
      </c>
      <c r="H20" t="s">
        <v>273</v>
      </c>
      <c r="I20" t="s">
        <v>256</v>
      </c>
    </row>
    <row r="21" spans="1:9" x14ac:dyDescent="0.25">
      <c r="A21" s="986" t="s">
        <v>251</v>
      </c>
      <c r="B21" s="571"/>
      <c r="C21" s="571"/>
      <c r="D21" s="571"/>
      <c r="E21" s="571"/>
      <c r="F21" s="571">
        <v>377</v>
      </c>
      <c r="G21" s="571">
        <v>592</v>
      </c>
      <c r="H21" s="571">
        <v>1985</v>
      </c>
      <c r="I21" s="571">
        <v>2954</v>
      </c>
    </row>
    <row r="22" spans="1:9" x14ac:dyDescent="0.25">
      <c r="A22" s="986" t="s">
        <v>252</v>
      </c>
      <c r="B22" s="571"/>
      <c r="C22" s="571">
        <v>16</v>
      </c>
      <c r="D22" s="571">
        <v>49</v>
      </c>
      <c r="E22" s="571">
        <v>115</v>
      </c>
      <c r="F22" s="571">
        <v>124</v>
      </c>
      <c r="G22" s="571">
        <v>54</v>
      </c>
      <c r="H22" s="571">
        <v>30</v>
      </c>
      <c r="I22" s="571">
        <v>388</v>
      </c>
    </row>
    <row r="23" spans="1:9" x14ac:dyDescent="0.25">
      <c r="A23" s="986" t="s">
        <v>253</v>
      </c>
      <c r="B23" s="571"/>
      <c r="C23" s="571">
        <v>3</v>
      </c>
      <c r="D23" s="571">
        <v>14</v>
      </c>
      <c r="E23" s="571">
        <v>24</v>
      </c>
      <c r="F23" s="571">
        <v>64</v>
      </c>
      <c r="G23" s="571">
        <v>41</v>
      </c>
      <c r="H23" s="571"/>
      <c r="I23" s="571">
        <v>146</v>
      </c>
    </row>
    <row r="24" spans="1:9" x14ac:dyDescent="0.25">
      <c r="A24" s="986" t="s">
        <v>254</v>
      </c>
      <c r="B24" s="571">
        <v>4</v>
      </c>
      <c r="C24" s="571">
        <v>14</v>
      </c>
      <c r="D24" s="571">
        <v>17</v>
      </c>
      <c r="E24" s="571">
        <v>8</v>
      </c>
      <c r="F24" s="571">
        <v>46</v>
      </c>
      <c r="G24" s="571"/>
      <c r="H24" s="571">
        <v>60</v>
      </c>
      <c r="I24" s="571">
        <v>149</v>
      </c>
    </row>
    <row r="25" spans="1:9" x14ac:dyDescent="0.25">
      <c r="A25" s="986" t="s">
        <v>255</v>
      </c>
      <c r="B25" s="571">
        <v>4</v>
      </c>
      <c r="C25" s="571">
        <v>33</v>
      </c>
      <c r="D25" s="571">
        <v>80</v>
      </c>
      <c r="E25" s="571">
        <v>147</v>
      </c>
      <c r="F25" s="571">
        <v>611</v>
      </c>
      <c r="G25" s="571">
        <v>687</v>
      </c>
      <c r="H25" s="571">
        <v>2075</v>
      </c>
      <c r="I25" s="571">
        <v>3637</v>
      </c>
    </row>
    <row r="28" spans="1:9" x14ac:dyDescent="0.25">
      <c r="A28" s="569" t="s">
        <v>249</v>
      </c>
      <c r="B28" t="s">
        <v>258</v>
      </c>
    </row>
    <row r="30" spans="1:9" x14ac:dyDescent="0.25">
      <c r="A30" s="569" t="s">
        <v>250</v>
      </c>
      <c r="B30" t="s">
        <v>268</v>
      </c>
      <c r="C30" t="s">
        <v>269</v>
      </c>
      <c r="D30" t="s">
        <v>270</v>
      </c>
      <c r="E30" t="s">
        <v>271</v>
      </c>
      <c r="F30" t="s">
        <v>260</v>
      </c>
      <c r="G30" t="s">
        <v>272</v>
      </c>
      <c r="H30" t="s">
        <v>273</v>
      </c>
      <c r="I30" t="s">
        <v>256</v>
      </c>
    </row>
    <row r="31" spans="1:9" x14ac:dyDescent="0.25">
      <c r="A31" s="986" t="s">
        <v>2</v>
      </c>
      <c r="B31" s="571"/>
      <c r="C31" s="571">
        <v>1</v>
      </c>
      <c r="D31" s="571">
        <v>4</v>
      </c>
      <c r="E31" s="571">
        <v>9</v>
      </c>
      <c r="F31" s="571">
        <v>42</v>
      </c>
      <c r="G31" s="571">
        <v>27</v>
      </c>
      <c r="H31" s="571">
        <v>124</v>
      </c>
      <c r="I31" s="571">
        <v>207</v>
      </c>
    </row>
    <row r="32" spans="1:9" x14ac:dyDescent="0.25">
      <c r="A32" s="986" t="s">
        <v>9</v>
      </c>
      <c r="B32" s="571"/>
      <c r="C32" s="571"/>
      <c r="D32" s="571"/>
      <c r="E32" s="571"/>
      <c r="F32" s="571">
        <v>279</v>
      </c>
      <c r="G32" s="571">
        <v>533</v>
      </c>
      <c r="H32" s="571">
        <v>2141</v>
      </c>
      <c r="I32" s="571">
        <v>2953</v>
      </c>
    </row>
    <row r="33" spans="1:9" x14ac:dyDescent="0.25">
      <c r="A33" s="986" t="s">
        <v>321</v>
      </c>
      <c r="B33" s="571">
        <v>4</v>
      </c>
      <c r="C33" s="571">
        <v>33</v>
      </c>
      <c r="D33" s="571">
        <v>80</v>
      </c>
      <c r="E33" s="571">
        <v>147</v>
      </c>
      <c r="F33" s="571">
        <v>611</v>
      </c>
      <c r="G33" s="571">
        <v>687</v>
      </c>
      <c r="H33" s="571">
        <v>2075</v>
      </c>
      <c r="I33" s="571">
        <v>3637</v>
      </c>
    </row>
    <row r="34" spans="1:9" x14ac:dyDescent="0.25">
      <c r="A34" s="986" t="s">
        <v>320</v>
      </c>
      <c r="B34" s="571"/>
      <c r="C34" s="571"/>
      <c r="D34" s="571"/>
      <c r="E34" s="571"/>
      <c r="F34" s="571">
        <v>37</v>
      </c>
      <c r="G34" s="571">
        <v>40</v>
      </c>
      <c r="H34" s="571">
        <v>240</v>
      </c>
      <c r="I34" s="571">
        <v>317</v>
      </c>
    </row>
    <row r="35" spans="1:9" x14ac:dyDescent="0.25">
      <c r="A35" s="986" t="s">
        <v>255</v>
      </c>
      <c r="B35" s="571">
        <v>4</v>
      </c>
      <c r="C35" s="571">
        <v>34</v>
      </c>
      <c r="D35" s="571">
        <v>84</v>
      </c>
      <c r="E35" s="571">
        <v>156</v>
      </c>
      <c r="F35" s="571">
        <v>969</v>
      </c>
      <c r="G35" s="571">
        <v>1287</v>
      </c>
      <c r="H35" s="571">
        <v>4580</v>
      </c>
      <c r="I35" s="571">
        <v>7114</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39997558519241921"/>
  </sheetPr>
  <dimension ref="A1:F62"/>
  <sheetViews>
    <sheetView workbookViewId="0">
      <selection activeCell="A16" sqref="A16"/>
    </sheetView>
  </sheetViews>
  <sheetFormatPr defaultRowHeight="15" x14ac:dyDescent="0.25"/>
  <cols>
    <col min="1" max="1" width="61.7109375" customWidth="1"/>
    <col min="2" max="2" width="10.5703125" customWidth="1"/>
    <col min="3" max="3" width="11" customWidth="1"/>
    <col min="4" max="4" width="14.28515625" customWidth="1"/>
    <col min="5" max="5" width="14.7109375" customWidth="1"/>
    <col min="6" max="6" width="10.5703125" customWidth="1"/>
    <col min="7" max="80" width="3" bestFit="1" customWidth="1"/>
    <col min="81" max="127" width="4" bestFit="1" customWidth="1"/>
    <col min="128" max="128" width="7.28515625" bestFit="1" customWidth="1"/>
    <col min="129" max="129" width="11.28515625" bestFit="1" customWidth="1"/>
  </cols>
  <sheetData>
    <row r="1" spans="1:6" x14ac:dyDescent="0.25">
      <c r="A1" s="569" t="s">
        <v>249</v>
      </c>
      <c r="B1" t="s">
        <v>258</v>
      </c>
    </row>
    <row r="3" spans="1:6" x14ac:dyDescent="0.25">
      <c r="A3" s="569" t="s">
        <v>250</v>
      </c>
      <c r="B3" t="s">
        <v>257</v>
      </c>
      <c r="C3" t="s">
        <v>264</v>
      </c>
      <c r="D3" t="s">
        <v>265</v>
      </c>
      <c r="E3" t="s">
        <v>266</v>
      </c>
      <c r="F3" t="s">
        <v>267</v>
      </c>
    </row>
    <row r="4" spans="1:6" x14ac:dyDescent="0.25">
      <c r="A4" s="986" t="s">
        <v>251</v>
      </c>
      <c r="B4" s="571">
        <v>2954</v>
      </c>
      <c r="C4" s="571">
        <v>2953</v>
      </c>
      <c r="D4" s="571"/>
      <c r="E4" s="571"/>
      <c r="F4" s="571">
        <v>317</v>
      </c>
    </row>
    <row r="5" spans="1:6" x14ac:dyDescent="0.25">
      <c r="A5" s="573" t="s">
        <v>31</v>
      </c>
      <c r="B5" s="571">
        <v>153</v>
      </c>
      <c r="C5" s="571">
        <v>9</v>
      </c>
      <c r="D5" s="571"/>
      <c r="E5" s="571"/>
      <c r="F5" s="571"/>
    </row>
    <row r="6" spans="1:6" x14ac:dyDescent="0.25">
      <c r="A6" s="573" t="s">
        <v>32</v>
      </c>
      <c r="B6" s="571">
        <v>30</v>
      </c>
      <c r="C6" s="571">
        <v>285</v>
      </c>
      <c r="D6" s="571"/>
      <c r="E6" s="571"/>
      <c r="F6" s="571"/>
    </row>
    <row r="7" spans="1:6" x14ac:dyDescent="0.25">
      <c r="A7" s="573" t="s">
        <v>33</v>
      </c>
      <c r="B7" s="571">
        <v>28</v>
      </c>
      <c r="C7" s="571">
        <v>98</v>
      </c>
      <c r="D7" s="571"/>
      <c r="E7" s="571"/>
      <c r="F7" s="571"/>
    </row>
    <row r="8" spans="1:6" x14ac:dyDescent="0.25">
      <c r="A8" s="573" t="s">
        <v>34</v>
      </c>
      <c r="B8" s="571">
        <v>54</v>
      </c>
      <c r="C8" s="571">
        <v>177</v>
      </c>
      <c r="D8" s="571"/>
      <c r="E8" s="571"/>
      <c r="F8" s="571">
        <v>203</v>
      </c>
    </row>
    <row r="9" spans="1:6" x14ac:dyDescent="0.25">
      <c r="A9" s="573" t="s">
        <v>262</v>
      </c>
      <c r="B9" s="571">
        <v>297</v>
      </c>
      <c r="C9" s="571">
        <v>9</v>
      </c>
      <c r="D9" s="571"/>
      <c r="E9" s="571"/>
      <c r="F9" s="571"/>
    </row>
    <row r="10" spans="1:6" x14ac:dyDescent="0.25">
      <c r="A10" s="573" t="s">
        <v>35</v>
      </c>
      <c r="B10" s="571">
        <v>25</v>
      </c>
      <c r="C10" s="571">
        <v>20</v>
      </c>
      <c r="D10" s="571"/>
      <c r="E10" s="571"/>
      <c r="F10" s="571"/>
    </row>
    <row r="11" spans="1:6" x14ac:dyDescent="0.25">
      <c r="A11" s="573" t="s">
        <v>36</v>
      </c>
      <c r="B11" s="571">
        <v>53</v>
      </c>
      <c r="C11" s="571">
        <v>199</v>
      </c>
      <c r="D11" s="571"/>
      <c r="E11" s="571"/>
      <c r="F11" s="571">
        <v>6</v>
      </c>
    </row>
    <row r="12" spans="1:6" x14ac:dyDescent="0.25">
      <c r="A12" s="573" t="s">
        <v>37</v>
      </c>
      <c r="B12" s="571">
        <v>177</v>
      </c>
      <c r="C12" s="571">
        <v>12</v>
      </c>
      <c r="D12" s="571"/>
      <c r="E12" s="571"/>
      <c r="F12" s="571"/>
    </row>
    <row r="13" spans="1:6" x14ac:dyDescent="0.25">
      <c r="A13" s="573" t="s">
        <v>38</v>
      </c>
      <c r="B13" s="571">
        <v>47</v>
      </c>
      <c r="C13" s="571">
        <v>77</v>
      </c>
      <c r="D13" s="571"/>
      <c r="E13" s="571"/>
      <c r="F13" s="571"/>
    </row>
    <row r="14" spans="1:6" x14ac:dyDescent="0.25">
      <c r="A14" s="573" t="s">
        <v>39</v>
      </c>
      <c r="B14" s="571">
        <v>78</v>
      </c>
      <c r="C14" s="571"/>
      <c r="D14" s="571"/>
      <c r="E14" s="571"/>
      <c r="F14" s="571"/>
    </row>
    <row r="15" spans="1:6" x14ac:dyDescent="0.25">
      <c r="A15" s="573" t="s">
        <v>40</v>
      </c>
      <c r="B15" s="571">
        <v>24</v>
      </c>
      <c r="C15" s="571">
        <v>63</v>
      </c>
      <c r="D15" s="571"/>
      <c r="E15" s="571"/>
      <c r="F15" s="571"/>
    </row>
    <row r="16" spans="1:6" x14ac:dyDescent="0.25">
      <c r="A16" s="573" t="s">
        <v>41</v>
      </c>
      <c r="B16" s="571">
        <v>52</v>
      </c>
      <c r="C16" s="571"/>
      <c r="D16" s="571"/>
      <c r="E16" s="571"/>
      <c r="F16" s="571"/>
    </row>
    <row r="17" spans="1:6" x14ac:dyDescent="0.25">
      <c r="A17" s="573" t="s">
        <v>42</v>
      </c>
      <c r="B17" s="571">
        <v>88</v>
      </c>
      <c r="C17" s="571">
        <v>55</v>
      </c>
      <c r="D17" s="571"/>
      <c r="E17" s="571"/>
      <c r="F17" s="571"/>
    </row>
    <row r="18" spans="1:6" x14ac:dyDescent="0.25">
      <c r="A18" s="573" t="s">
        <v>43</v>
      </c>
      <c r="B18" s="571">
        <v>274</v>
      </c>
      <c r="C18" s="571">
        <v>117</v>
      </c>
      <c r="D18" s="571"/>
      <c r="E18" s="571"/>
      <c r="F18" s="571"/>
    </row>
    <row r="19" spans="1:6" x14ac:dyDescent="0.25">
      <c r="A19" s="573" t="s">
        <v>124</v>
      </c>
      <c r="B19" s="571">
        <v>515</v>
      </c>
      <c r="C19" s="571"/>
      <c r="D19" s="571"/>
      <c r="E19" s="571"/>
      <c r="F19" s="571"/>
    </row>
    <row r="20" spans="1:6" x14ac:dyDescent="0.25">
      <c r="A20" s="573" t="s">
        <v>44</v>
      </c>
      <c r="B20" s="571">
        <v>70</v>
      </c>
      <c r="C20" s="571">
        <v>556</v>
      </c>
      <c r="D20" s="571"/>
      <c r="E20" s="571"/>
      <c r="F20" s="571">
        <v>62</v>
      </c>
    </row>
    <row r="21" spans="1:6" x14ac:dyDescent="0.25">
      <c r="A21" s="573" t="s">
        <v>45</v>
      </c>
      <c r="B21" s="571">
        <v>72</v>
      </c>
      <c r="C21" s="571">
        <v>44</v>
      </c>
      <c r="D21" s="571"/>
      <c r="E21" s="571"/>
      <c r="F21" s="571"/>
    </row>
    <row r="22" spans="1:6" x14ac:dyDescent="0.25">
      <c r="A22" s="573" t="s">
        <v>46</v>
      </c>
      <c r="B22" s="571">
        <v>26</v>
      </c>
      <c r="C22" s="571">
        <v>13</v>
      </c>
      <c r="D22" s="571"/>
      <c r="E22" s="571"/>
      <c r="F22" s="571"/>
    </row>
    <row r="23" spans="1:6" x14ac:dyDescent="0.25">
      <c r="A23" s="573" t="s">
        <v>47</v>
      </c>
      <c r="B23" s="571">
        <v>30</v>
      </c>
      <c r="C23" s="571">
        <v>121</v>
      </c>
      <c r="D23" s="571"/>
      <c r="E23" s="571"/>
      <c r="F23" s="571"/>
    </row>
    <row r="24" spans="1:6" x14ac:dyDescent="0.25">
      <c r="A24" s="573" t="s">
        <v>48</v>
      </c>
      <c r="B24" s="571"/>
      <c r="C24" s="571">
        <v>133</v>
      </c>
      <c r="D24" s="571"/>
      <c r="E24" s="571"/>
      <c r="F24" s="571"/>
    </row>
    <row r="25" spans="1:6" x14ac:dyDescent="0.25">
      <c r="A25" s="573" t="s">
        <v>49</v>
      </c>
      <c r="B25" s="571">
        <v>76</v>
      </c>
      <c r="C25" s="571">
        <v>108</v>
      </c>
      <c r="D25" s="571"/>
      <c r="E25" s="571"/>
      <c r="F25" s="571">
        <v>22</v>
      </c>
    </row>
    <row r="26" spans="1:6" x14ac:dyDescent="0.25">
      <c r="A26" s="573" t="s">
        <v>50</v>
      </c>
      <c r="B26" s="571">
        <v>166</v>
      </c>
      <c r="C26" s="571">
        <v>35</v>
      </c>
      <c r="D26" s="571"/>
      <c r="E26" s="571"/>
      <c r="F26" s="571"/>
    </row>
    <row r="27" spans="1:6" x14ac:dyDescent="0.25">
      <c r="A27" s="573" t="s">
        <v>51</v>
      </c>
      <c r="B27" s="571"/>
      <c r="C27" s="571">
        <v>110</v>
      </c>
      <c r="D27" s="571"/>
      <c r="E27" s="571"/>
      <c r="F27" s="571"/>
    </row>
    <row r="28" spans="1:6" x14ac:dyDescent="0.25">
      <c r="A28" s="573" t="s">
        <v>52</v>
      </c>
      <c r="B28" s="571">
        <v>69</v>
      </c>
      <c r="C28" s="571">
        <v>132</v>
      </c>
      <c r="D28" s="571"/>
      <c r="E28" s="571"/>
      <c r="F28" s="571">
        <v>22</v>
      </c>
    </row>
    <row r="29" spans="1:6" x14ac:dyDescent="0.25">
      <c r="A29" s="573" t="s">
        <v>53</v>
      </c>
      <c r="B29" s="571">
        <v>99</v>
      </c>
      <c r="C29" s="571">
        <v>17</v>
      </c>
      <c r="D29" s="571"/>
      <c r="E29" s="571"/>
      <c r="F29" s="571"/>
    </row>
    <row r="30" spans="1:6" x14ac:dyDescent="0.25">
      <c r="A30" s="573" t="s">
        <v>54</v>
      </c>
      <c r="B30" s="571">
        <v>56</v>
      </c>
      <c r="C30" s="571">
        <v>144</v>
      </c>
      <c r="D30" s="571"/>
      <c r="E30" s="571"/>
      <c r="F30" s="571"/>
    </row>
    <row r="31" spans="1:6" x14ac:dyDescent="0.25">
      <c r="A31" s="573" t="s">
        <v>55</v>
      </c>
      <c r="B31" s="571"/>
      <c r="C31" s="571">
        <v>128</v>
      </c>
      <c r="D31" s="571"/>
      <c r="E31" s="571"/>
      <c r="F31" s="571"/>
    </row>
    <row r="32" spans="1:6" x14ac:dyDescent="0.25">
      <c r="A32" s="573" t="s">
        <v>56</v>
      </c>
      <c r="B32" s="571">
        <v>50</v>
      </c>
      <c r="C32" s="571">
        <v>58</v>
      </c>
      <c r="D32" s="571"/>
      <c r="E32" s="571"/>
      <c r="F32" s="571"/>
    </row>
    <row r="33" spans="1:6" x14ac:dyDescent="0.25">
      <c r="A33" s="573" t="s">
        <v>57</v>
      </c>
      <c r="B33" s="571">
        <v>167</v>
      </c>
      <c r="C33" s="571">
        <v>78</v>
      </c>
      <c r="D33" s="571"/>
      <c r="E33" s="571"/>
      <c r="F33" s="571">
        <v>2</v>
      </c>
    </row>
    <row r="34" spans="1:6" x14ac:dyDescent="0.25">
      <c r="A34" s="573" t="s">
        <v>58</v>
      </c>
      <c r="B34" s="571">
        <v>49</v>
      </c>
      <c r="C34" s="571">
        <v>76</v>
      </c>
      <c r="D34" s="571"/>
      <c r="E34" s="571"/>
      <c r="F34" s="571"/>
    </row>
    <row r="35" spans="1:6" x14ac:dyDescent="0.25">
      <c r="A35" s="573" t="s">
        <v>59</v>
      </c>
      <c r="B35" s="571">
        <v>73</v>
      </c>
      <c r="C35" s="571">
        <v>20</v>
      </c>
      <c r="D35" s="571"/>
      <c r="E35" s="571"/>
      <c r="F35" s="571"/>
    </row>
    <row r="36" spans="1:6" x14ac:dyDescent="0.25">
      <c r="A36" s="573" t="s">
        <v>60</v>
      </c>
      <c r="B36" s="571">
        <v>56</v>
      </c>
      <c r="C36" s="571">
        <v>59</v>
      </c>
      <c r="D36" s="571"/>
      <c r="E36" s="571"/>
      <c r="F36" s="571"/>
    </row>
    <row r="37" spans="1:6" x14ac:dyDescent="0.25">
      <c r="A37" s="986" t="s">
        <v>252</v>
      </c>
      <c r="B37" s="571">
        <v>388</v>
      </c>
      <c r="C37" s="571"/>
      <c r="D37" s="571"/>
      <c r="E37" s="571"/>
      <c r="F37" s="571"/>
    </row>
    <row r="38" spans="1:6" x14ac:dyDescent="0.25">
      <c r="A38" s="573" t="s">
        <v>31</v>
      </c>
      <c r="B38" s="571">
        <v>17</v>
      </c>
      <c r="C38" s="571"/>
      <c r="D38" s="571"/>
      <c r="E38" s="571"/>
      <c r="F38" s="571"/>
    </row>
    <row r="39" spans="1:6" x14ac:dyDescent="0.25">
      <c r="A39" s="573" t="s">
        <v>64</v>
      </c>
      <c r="B39" s="571">
        <v>25</v>
      </c>
      <c r="C39" s="571"/>
      <c r="D39" s="571"/>
      <c r="E39" s="571"/>
      <c r="F39" s="571"/>
    </row>
    <row r="40" spans="1:6" x14ac:dyDescent="0.25">
      <c r="A40" s="573" t="s">
        <v>65</v>
      </c>
      <c r="B40" s="571">
        <v>26</v>
      </c>
      <c r="C40" s="571"/>
      <c r="D40" s="571"/>
      <c r="E40" s="571"/>
      <c r="F40" s="571"/>
    </row>
    <row r="41" spans="1:6" x14ac:dyDescent="0.25">
      <c r="A41" s="573" t="s">
        <v>36</v>
      </c>
      <c r="B41" s="571">
        <v>22</v>
      </c>
      <c r="C41" s="571"/>
      <c r="D41" s="571"/>
      <c r="E41" s="571"/>
      <c r="F41" s="571"/>
    </row>
    <row r="42" spans="1:6" x14ac:dyDescent="0.25">
      <c r="A42" s="573" t="s">
        <v>67</v>
      </c>
      <c r="B42" s="571">
        <v>29</v>
      </c>
      <c r="C42" s="571"/>
      <c r="D42" s="571"/>
      <c r="E42" s="571"/>
      <c r="F42" s="571"/>
    </row>
    <row r="43" spans="1:6" x14ac:dyDescent="0.25">
      <c r="A43" s="573" t="s">
        <v>68</v>
      </c>
      <c r="B43" s="571">
        <v>25</v>
      </c>
      <c r="C43" s="571"/>
      <c r="D43" s="571"/>
      <c r="E43" s="571"/>
      <c r="F43" s="571"/>
    </row>
    <row r="44" spans="1:6" x14ac:dyDescent="0.25">
      <c r="A44" s="573" t="s">
        <v>69</v>
      </c>
      <c r="B44" s="571">
        <v>25</v>
      </c>
      <c r="C44" s="571"/>
      <c r="D44" s="571"/>
      <c r="E44" s="571"/>
      <c r="F44" s="571"/>
    </row>
    <row r="45" spans="1:6" x14ac:dyDescent="0.25">
      <c r="A45" s="573" t="s">
        <v>70</v>
      </c>
      <c r="B45" s="571">
        <v>14</v>
      </c>
      <c r="C45" s="571"/>
      <c r="D45" s="571"/>
      <c r="E45" s="571"/>
      <c r="F45" s="571"/>
    </row>
    <row r="46" spans="1:6" x14ac:dyDescent="0.25">
      <c r="A46" s="573" t="s">
        <v>178</v>
      </c>
      <c r="B46" s="571">
        <v>30</v>
      </c>
      <c r="C46" s="571"/>
      <c r="D46" s="571"/>
      <c r="E46" s="571"/>
      <c r="F46" s="571"/>
    </row>
    <row r="47" spans="1:6" x14ac:dyDescent="0.25">
      <c r="A47" s="573" t="s">
        <v>71</v>
      </c>
      <c r="B47" s="571">
        <v>20</v>
      </c>
      <c r="C47" s="571"/>
      <c r="D47" s="571"/>
      <c r="E47" s="571"/>
      <c r="F47" s="571"/>
    </row>
    <row r="48" spans="1:6" x14ac:dyDescent="0.25">
      <c r="A48" s="573" t="s">
        <v>43</v>
      </c>
      <c r="B48" s="571">
        <v>18</v>
      </c>
      <c r="C48" s="571"/>
      <c r="D48" s="571"/>
      <c r="E48" s="571"/>
      <c r="F48" s="571"/>
    </row>
    <row r="49" spans="1:6" x14ac:dyDescent="0.25">
      <c r="A49" s="573" t="s">
        <v>124</v>
      </c>
      <c r="B49" s="571">
        <v>25</v>
      </c>
      <c r="C49" s="571"/>
      <c r="D49" s="571"/>
      <c r="E49" s="571"/>
      <c r="F49" s="571"/>
    </row>
    <row r="50" spans="1:6" x14ac:dyDescent="0.25">
      <c r="A50" s="573" t="s">
        <v>72</v>
      </c>
      <c r="B50" s="571">
        <v>43</v>
      </c>
      <c r="C50" s="571"/>
      <c r="D50" s="571"/>
      <c r="E50" s="571"/>
      <c r="F50" s="571"/>
    </row>
    <row r="51" spans="1:6" x14ac:dyDescent="0.25">
      <c r="A51" s="573" t="s">
        <v>50</v>
      </c>
      <c r="B51" s="571">
        <v>17</v>
      </c>
      <c r="C51" s="571"/>
      <c r="D51" s="571"/>
      <c r="E51" s="571"/>
      <c r="F51" s="571"/>
    </row>
    <row r="52" spans="1:6" x14ac:dyDescent="0.25">
      <c r="A52" s="573" t="s">
        <v>57</v>
      </c>
      <c r="B52" s="571">
        <v>16</v>
      </c>
      <c r="C52" s="571"/>
      <c r="D52" s="571"/>
      <c r="E52" s="571"/>
      <c r="F52" s="571"/>
    </row>
    <row r="53" spans="1:6" x14ac:dyDescent="0.25">
      <c r="A53" s="573" t="s">
        <v>73</v>
      </c>
      <c r="B53" s="571">
        <v>18</v>
      </c>
      <c r="C53" s="571"/>
      <c r="D53" s="571"/>
      <c r="E53" s="571"/>
      <c r="F53" s="571"/>
    </row>
    <row r="54" spans="1:6" x14ac:dyDescent="0.25">
      <c r="A54" s="573" t="s">
        <v>74</v>
      </c>
      <c r="B54" s="571">
        <v>16</v>
      </c>
      <c r="C54" s="571"/>
      <c r="D54" s="571"/>
      <c r="E54" s="571"/>
      <c r="F54" s="571"/>
    </row>
    <row r="55" spans="1:6" x14ac:dyDescent="0.25">
      <c r="A55" s="573" t="s">
        <v>834</v>
      </c>
      <c r="B55" s="571">
        <v>2</v>
      </c>
      <c r="C55" s="571"/>
      <c r="D55" s="571"/>
      <c r="E55" s="571"/>
      <c r="F55" s="571"/>
    </row>
    <row r="56" spans="1:6" x14ac:dyDescent="0.25">
      <c r="A56" s="986" t="s">
        <v>253</v>
      </c>
      <c r="B56" s="571">
        <v>146</v>
      </c>
      <c r="C56" s="571"/>
      <c r="D56" s="571"/>
      <c r="E56" s="571">
        <v>489</v>
      </c>
      <c r="F56" s="571"/>
    </row>
    <row r="57" spans="1:6" x14ac:dyDescent="0.25">
      <c r="A57" s="573" t="s">
        <v>177</v>
      </c>
      <c r="B57" s="571">
        <v>37</v>
      </c>
      <c r="C57" s="571"/>
      <c r="D57" s="571"/>
      <c r="E57" s="571">
        <v>102</v>
      </c>
      <c r="F57" s="571"/>
    </row>
    <row r="58" spans="1:6" x14ac:dyDescent="0.25">
      <c r="A58" s="573" t="s">
        <v>175</v>
      </c>
      <c r="B58" s="571">
        <v>30</v>
      </c>
      <c r="C58" s="571"/>
      <c r="D58" s="571"/>
      <c r="E58" s="571">
        <v>141</v>
      </c>
      <c r="F58" s="571"/>
    </row>
    <row r="59" spans="1:6" x14ac:dyDescent="0.25">
      <c r="A59" s="573" t="s">
        <v>176</v>
      </c>
      <c r="B59" s="571">
        <v>79</v>
      </c>
      <c r="C59" s="571"/>
      <c r="D59" s="571"/>
      <c r="E59" s="571">
        <v>246</v>
      </c>
      <c r="F59" s="571"/>
    </row>
    <row r="60" spans="1:6" x14ac:dyDescent="0.25">
      <c r="A60" s="986" t="s">
        <v>254</v>
      </c>
      <c r="B60" s="571">
        <v>149</v>
      </c>
      <c r="C60" s="571"/>
      <c r="D60" s="571">
        <v>207</v>
      </c>
      <c r="E60" s="571">
        <v>303</v>
      </c>
      <c r="F60" s="571"/>
    </row>
    <row r="61" spans="1:6" x14ac:dyDescent="0.25">
      <c r="A61" s="573" t="s">
        <v>263</v>
      </c>
      <c r="B61" s="571">
        <v>149</v>
      </c>
      <c r="C61" s="571"/>
      <c r="D61" s="571">
        <v>207</v>
      </c>
      <c r="E61" s="571">
        <v>303</v>
      </c>
      <c r="F61" s="571"/>
    </row>
    <row r="62" spans="1:6" x14ac:dyDescent="0.25">
      <c r="A62" s="986" t="s">
        <v>255</v>
      </c>
      <c r="B62" s="571">
        <v>3637</v>
      </c>
      <c r="C62" s="571">
        <v>2953</v>
      </c>
      <c r="D62" s="571">
        <v>207</v>
      </c>
      <c r="E62" s="571">
        <v>792</v>
      </c>
      <c r="F62" s="571">
        <v>317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39997558519241921"/>
  </sheetPr>
  <dimension ref="A1:D34"/>
  <sheetViews>
    <sheetView workbookViewId="0"/>
  </sheetViews>
  <sheetFormatPr defaultRowHeight="15" x14ac:dyDescent="0.25"/>
  <cols>
    <col min="1" max="1" width="25.5703125" bestFit="1" customWidth="1"/>
    <col min="2" max="2" width="22" bestFit="1" customWidth="1"/>
    <col min="3" max="3" width="20.7109375" bestFit="1" customWidth="1"/>
    <col min="4" max="4" width="17.28515625" bestFit="1" customWidth="1"/>
  </cols>
  <sheetData>
    <row r="1" spans="1:4" x14ac:dyDescent="0.25">
      <c r="A1" s="569" t="s">
        <v>274</v>
      </c>
      <c r="B1" t="s">
        <v>258</v>
      </c>
    </row>
    <row r="3" spans="1:4" x14ac:dyDescent="0.25">
      <c r="A3" s="569" t="s">
        <v>250</v>
      </c>
      <c r="B3" t="s">
        <v>260</v>
      </c>
      <c r="C3" t="s">
        <v>272</v>
      </c>
      <c r="D3" t="s">
        <v>273</v>
      </c>
    </row>
    <row r="4" spans="1:4" x14ac:dyDescent="0.25">
      <c r="A4" s="986" t="s">
        <v>251</v>
      </c>
      <c r="B4" s="571">
        <v>279</v>
      </c>
      <c r="C4" s="571">
        <v>533</v>
      </c>
      <c r="D4" s="571">
        <v>2141</v>
      </c>
    </row>
    <row r="5" spans="1:4" x14ac:dyDescent="0.25">
      <c r="A5" s="573" t="s">
        <v>31</v>
      </c>
      <c r="B5" s="571">
        <v>1</v>
      </c>
      <c r="C5" s="571">
        <v>3</v>
      </c>
      <c r="D5" s="571">
        <v>5</v>
      </c>
    </row>
    <row r="6" spans="1:4" x14ac:dyDescent="0.25">
      <c r="A6" s="573" t="s">
        <v>32</v>
      </c>
      <c r="B6" s="571">
        <v>25</v>
      </c>
      <c r="C6" s="571">
        <v>69</v>
      </c>
      <c r="D6" s="571">
        <v>191</v>
      </c>
    </row>
    <row r="7" spans="1:4" x14ac:dyDescent="0.25">
      <c r="A7" s="573" t="s">
        <v>33</v>
      </c>
      <c r="B7" s="571">
        <v>6</v>
      </c>
      <c r="C7" s="571">
        <v>14</v>
      </c>
      <c r="D7" s="571">
        <v>78</v>
      </c>
    </row>
    <row r="8" spans="1:4" x14ac:dyDescent="0.25">
      <c r="A8" s="573" t="s">
        <v>34</v>
      </c>
      <c r="B8" s="571">
        <v>15</v>
      </c>
      <c r="C8" s="571">
        <v>25</v>
      </c>
      <c r="D8" s="571">
        <v>137</v>
      </c>
    </row>
    <row r="9" spans="1:4" x14ac:dyDescent="0.25">
      <c r="A9" s="573" t="s">
        <v>262</v>
      </c>
      <c r="B9" s="571"/>
      <c r="C9" s="571">
        <v>2</v>
      </c>
      <c r="D9" s="571">
        <v>7</v>
      </c>
    </row>
    <row r="10" spans="1:4" x14ac:dyDescent="0.25">
      <c r="A10" s="573" t="s">
        <v>35</v>
      </c>
      <c r="B10" s="571">
        <v>2</v>
      </c>
      <c r="C10" s="571">
        <v>4</v>
      </c>
      <c r="D10" s="571">
        <v>14</v>
      </c>
    </row>
    <row r="11" spans="1:4" x14ac:dyDescent="0.25">
      <c r="A11" s="573" t="s">
        <v>36</v>
      </c>
      <c r="B11" s="571">
        <v>18</v>
      </c>
      <c r="C11" s="571">
        <v>34</v>
      </c>
      <c r="D11" s="571">
        <v>147</v>
      </c>
    </row>
    <row r="12" spans="1:4" x14ac:dyDescent="0.25">
      <c r="A12" s="573" t="s">
        <v>37</v>
      </c>
      <c r="B12" s="571">
        <v>1</v>
      </c>
      <c r="C12" s="571">
        <v>2</v>
      </c>
      <c r="D12" s="571">
        <v>9</v>
      </c>
    </row>
    <row r="13" spans="1:4" x14ac:dyDescent="0.25">
      <c r="A13" s="573" t="s">
        <v>38</v>
      </c>
      <c r="B13" s="571">
        <v>5</v>
      </c>
      <c r="C13" s="571">
        <v>10</v>
      </c>
      <c r="D13" s="571">
        <v>62</v>
      </c>
    </row>
    <row r="14" spans="1:4" x14ac:dyDescent="0.25">
      <c r="A14" s="573" t="s">
        <v>40</v>
      </c>
      <c r="B14" s="571">
        <v>6</v>
      </c>
      <c r="C14" s="571">
        <v>12</v>
      </c>
      <c r="D14" s="571">
        <v>45</v>
      </c>
    </row>
    <row r="15" spans="1:4" x14ac:dyDescent="0.25">
      <c r="A15" s="573" t="s">
        <v>42</v>
      </c>
      <c r="B15" s="571">
        <v>5</v>
      </c>
      <c r="C15" s="571">
        <v>10</v>
      </c>
      <c r="D15" s="571">
        <v>40</v>
      </c>
    </row>
    <row r="16" spans="1:4" x14ac:dyDescent="0.25">
      <c r="A16" s="573" t="s">
        <v>43</v>
      </c>
      <c r="B16" s="571">
        <v>10</v>
      </c>
      <c r="C16" s="571">
        <v>21</v>
      </c>
      <c r="D16" s="571">
        <v>86</v>
      </c>
    </row>
    <row r="17" spans="1:4" x14ac:dyDescent="0.25">
      <c r="A17" s="573" t="s">
        <v>44</v>
      </c>
      <c r="B17" s="571">
        <v>60</v>
      </c>
      <c r="C17" s="571">
        <v>103</v>
      </c>
      <c r="D17" s="571">
        <v>393</v>
      </c>
    </row>
    <row r="18" spans="1:4" x14ac:dyDescent="0.25">
      <c r="A18" s="573" t="s">
        <v>45</v>
      </c>
      <c r="B18" s="571">
        <v>3</v>
      </c>
      <c r="C18" s="571">
        <v>6</v>
      </c>
      <c r="D18" s="571">
        <v>35</v>
      </c>
    </row>
    <row r="19" spans="1:4" x14ac:dyDescent="0.25">
      <c r="A19" s="573" t="s">
        <v>46</v>
      </c>
      <c r="B19" s="571">
        <v>1</v>
      </c>
      <c r="C19" s="571">
        <v>3</v>
      </c>
      <c r="D19" s="571">
        <v>9</v>
      </c>
    </row>
    <row r="20" spans="1:4" x14ac:dyDescent="0.25">
      <c r="A20" s="573" t="s">
        <v>47</v>
      </c>
      <c r="B20" s="571">
        <v>12</v>
      </c>
      <c r="C20" s="571">
        <v>28</v>
      </c>
      <c r="D20" s="571">
        <v>81</v>
      </c>
    </row>
    <row r="21" spans="1:4" x14ac:dyDescent="0.25">
      <c r="A21" s="573" t="s">
        <v>48</v>
      </c>
      <c r="B21" s="571">
        <v>14</v>
      </c>
      <c r="C21" s="571">
        <v>25</v>
      </c>
      <c r="D21" s="571">
        <v>94</v>
      </c>
    </row>
    <row r="22" spans="1:4" x14ac:dyDescent="0.25">
      <c r="A22" s="573" t="s">
        <v>49</v>
      </c>
      <c r="B22" s="571">
        <v>12</v>
      </c>
      <c r="C22" s="571">
        <v>11</v>
      </c>
      <c r="D22" s="571">
        <v>85</v>
      </c>
    </row>
    <row r="23" spans="1:4" x14ac:dyDescent="0.25">
      <c r="A23" s="573" t="s">
        <v>50</v>
      </c>
      <c r="B23" s="571">
        <v>3</v>
      </c>
      <c r="C23" s="571">
        <v>6</v>
      </c>
      <c r="D23" s="571">
        <v>26</v>
      </c>
    </row>
    <row r="24" spans="1:4" x14ac:dyDescent="0.25">
      <c r="A24" s="573" t="s">
        <v>51</v>
      </c>
      <c r="B24" s="571">
        <v>10</v>
      </c>
      <c r="C24" s="571">
        <v>23</v>
      </c>
      <c r="D24" s="571">
        <v>77</v>
      </c>
    </row>
    <row r="25" spans="1:4" x14ac:dyDescent="0.25">
      <c r="A25" s="573" t="s">
        <v>52</v>
      </c>
      <c r="B25" s="571">
        <v>11</v>
      </c>
      <c r="C25" s="571">
        <v>23</v>
      </c>
      <c r="D25" s="571">
        <v>98</v>
      </c>
    </row>
    <row r="26" spans="1:4" x14ac:dyDescent="0.25">
      <c r="A26" s="573" t="s">
        <v>53</v>
      </c>
      <c r="B26" s="571">
        <v>1</v>
      </c>
      <c r="C26" s="571">
        <v>2</v>
      </c>
      <c r="D26" s="571">
        <v>14</v>
      </c>
    </row>
    <row r="27" spans="1:4" x14ac:dyDescent="0.25">
      <c r="A27" s="573" t="s">
        <v>54</v>
      </c>
      <c r="B27" s="571">
        <v>14</v>
      </c>
      <c r="C27" s="571">
        <v>28</v>
      </c>
      <c r="D27" s="571">
        <v>102</v>
      </c>
    </row>
    <row r="28" spans="1:4" x14ac:dyDescent="0.25">
      <c r="A28" s="573" t="s">
        <v>55</v>
      </c>
      <c r="B28" s="571">
        <v>14</v>
      </c>
      <c r="C28" s="571">
        <v>25</v>
      </c>
      <c r="D28" s="571">
        <v>89</v>
      </c>
    </row>
    <row r="29" spans="1:4" x14ac:dyDescent="0.25">
      <c r="A29" s="573" t="s">
        <v>56</v>
      </c>
      <c r="B29" s="571">
        <v>5</v>
      </c>
      <c r="C29" s="571">
        <v>7</v>
      </c>
      <c r="D29" s="571">
        <v>46</v>
      </c>
    </row>
    <row r="30" spans="1:4" x14ac:dyDescent="0.25">
      <c r="A30" s="573" t="s">
        <v>57</v>
      </c>
      <c r="B30" s="571">
        <v>9</v>
      </c>
      <c r="C30" s="571">
        <v>8</v>
      </c>
      <c r="D30" s="571">
        <v>61</v>
      </c>
    </row>
    <row r="31" spans="1:4" x14ac:dyDescent="0.25">
      <c r="A31" s="573" t="s">
        <v>58</v>
      </c>
      <c r="B31" s="571">
        <v>9</v>
      </c>
      <c r="C31" s="571">
        <v>16</v>
      </c>
      <c r="D31" s="571">
        <v>51</v>
      </c>
    </row>
    <row r="32" spans="1:4" x14ac:dyDescent="0.25">
      <c r="A32" s="573" t="s">
        <v>59</v>
      </c>
      <c r="B32" s="571">
        <v>2</v>
      </c>
      <c r="C32" s="571">
        <v>2</v>
      </c>
      <c r="D32" s="571">
        <v>16</v>
      </c>
    </row>
    <row r="33" spans="1:4" x14ac:dyDescent="0.25">
      <c r="A33" s="573" t="s">
        <v>60</v>
      </c>
      <c r="B33" s="571">
        <v>5</v>
      </c>
      <c r="C33" s="571">
        <v>11</v>
      </c>
      <c r="D33" s="571">
        <v>43</v>
      </c>
    </row>
    <row r="34" spans="1:4" x14ac:dyDescent="0.25">
      <c r="A34" s="986" t="s">
        <v>255</v>
      </c>
      <c r="B34" s="571">
        <v>279</v>
      </c>
      <c r="C34" s="571">
        <v>533</v>
      </c>
      <c r="D34" s="571">
        <v>2141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39997558519241921"/>
  </sheetPr>
  <dimension ref="A1:I53"/>
  <sheetViews>
    <sheetView workbookViewId="0">
      <selection activeCell="D28" sqref="D28"/>
    </sheetView>
  </sheetViews>
  <sheetFormatPr defaultRowHeight="15" x14ac:dyDescent="0.25"/>
  <cols>
    <col min="1" max="1" width="13.140625" customWidth="1"/>
    <col min="2" max="2" width="14.85546875" customWidth="1"/>
    <col min="3" max="3" width="22.7109375" customWidth="1"/>
    <col min="4" max="4" width="19.140625" customWidth="1"/>
    <col min="5" max="5" width="18.85546875" customWidth="1"/>
    <col min="6" max="6" width="25.140625" customWidth="1"/>
    <col min="7" max="7" width="19.42578125" customWidth="1"/>
    <col min="8" max="8" width="21.140625" customWidth="1"/>
    <col min="9" max="9" width="12" customWidth="1"/>
  </cols>
  <sheetData>
    <row r="1" spans="1:7" x14ac:dyDescent="0.25">
      <c r="A1" s="569" t="s">
        <v>274</v>
      </c>
      <c r="B1" t="s">
        <v>258</v>
      </c>
    </row>
    <row r="3" spans="1:7" x14ac:dyDescent="0.25">
      <c r="A3" s="569" t="s">
        <v>250</v>
      </c>
      <c r="B3" t="s">
        <v>269</v>
      </c>
      <c r="C3" t="s">
        <v>270</v>
      </c>
      <c r="D3" t="s">
        <v>271</v>
      </c>
      <c r="E3" t="s">
        <v>260</v>
      </c>
      <c r="F3" t="s">
        <v>272</v>
      </c>
      <c r="G3" t="s">
        <v>277</v>
      </c>
    </row>
    <row r="4" spans="1:7" x14ac:dyDescent="0.25">
      <c r="A4" s="986" t="s">
        <v>254</v>
      </c>
      <c r="B4" s="571">
        <v>1</v>
      </c>
      <c r="C4" s="571">
        <v>4</v>
      </c>
      <c r="D4" s="571">
        <v>9</v>
      </c>
      <c r="E4" s="571">
        <v>42</v>
      </c>
      <c r="F4" s="571">
        <v>27</v>
      </c>
      <c r="G4" s="571">
        <v>124</v>
      </c>
    </row>
    <row r="5" spans="1:7" x14ac:dyDescent="0.25">
      <c r="A5" s="573" t="s">
        <v>263</v>
      </c>
      <c r="B5" s="571">
        <v>1</v>
      </c>
      <c r="C5" s="571">
        <v>4</v>
      </c>
      <c r="D5" s="571">
        <v>9</v>
      </c>
      <c r="E5" s="571">
        <v>42</v>
      </c>
      <c r="F5" s="571">
        <v>27</v>
      </c>
      <c r="G5" s="571">
        <v>124</v>
      </c>
    </row>
    <row r="6" spans="1:7" x14ac:dyDescent="0.25">
      <c r="A6" s="986" t="s">
        <v>255</v>
      </c>
      <c r="B6" s="571">
        <v>1</v>
      </c>
      <c r="C6" s="571">
        <v>4</v>
      </c>
      <c r="D6" s="571">
        <v>9</v>
      </c>
      <c r="E6" s="571">
        <v>42</v>
      </c>
      <c r="F6" s="571">
        <v>27</v>
      </c>
      <c r="G6" s="571">
        <v>124</v>
      </c>
    </row>
    <row r="22" spans="1:9" x14ac:dyDescent="0.25">
      <c r="A22" s="569" t="s">
        <v>274</v>
      </c>
      <c r="B22" t="s">
        <v>258</v>
      </c>
    </row>
    <row r="24" spans="1:9" x14ac:dyDescent="0.25">
      <c r="A24" s="569" t="s">
        <v>250</v>
      </c>
      <c r="B24" t="s">
        <v>279</v>
      </c>
      <c r="C24" t="s">
        <v>280</v>
      </c>
      <c r="D24" t="s">
        <v>281</v>
      </c>
      <c r="E24" t="s">
        <v>282</v>
      </c>
      <c r="F24" t="s">
        <v>283</v>
      </c>
      <c r="G24" t="s">
        <v>284</v>
      </c>
      <c r="H24" t="s">
        <v>285</v>
      </c>
      <c r="I24" t="s">
        <v>256</v>
      </c>
    </row>
    <row r="25" spans="1:9" x14ac:dyDescent="0.25">
      <c r="A25" s="988" t="s">
        <v>253</v>
      </c>
      <c r="B25" s="571"/>
      <c r="C25" s="571">
        <v>7</v>
      </c>
      <c r="D25" s="571">
        <v>22</v>
      </c>
      <c r="E25" s="571">
        <v>37</v>
      </c>
      <c r="F25" s="571">
        <v>260</v>
      </c>
      <c r="G25" s="571">
        <v>63</v>
      </c>
      <c r="H25" s="571">
        <v>100</v>
      </c>
      <c r="I25" s="571">
        <v>489</v>
      </c>
    </row>
    <row r="26" spans="1:9" x14ac:dyDescent="0.25">
      <c r="A26" s="573" t="s">
        <v>177</v>
      </c>
      <c r="B26" s="571"/>
      <c r="C26" s="571">
        <v>2</v>
      </c>
      <c r="D26" s="571">
        <v>4</v>
      </c>
      <c r="E26" s="571">
        <v>11</v>
      </c>
      <c r="F26" s="571">
        <v>49</v>
      </c>
      <c r="G26" s="571">
        <v>18</v>
      </c>
      <c r="H26" s="571">
        <v>18</v>
      </c>
      <c r="I26" s="571">
        <v>102</v>
      </c>
    </row>
    <row r="27" spans="1:9" x14ac:dyDescent="0.25">
      <c r="A27" s="573" t="s">
        <v>175</v>
      </c>
      <c r="B27" s="571"/>
      <c r="C27" s="571">
        <v>3</v>
      </c>
      <c r="D27" s="571">
        <v>9</v>
      </c>
      <c r="E27" s="571">
        <v>11</v>
      </c>
      <c r="F27" s="571">
        <v>77</v>
      </c>
      <c r="G27" s="571">
        <v>17</v>
      </c>
      <c r="H27" s="571">
        <v>24</v>
      </c>
      <c r="I27" s="571">
        <v>141</v>
      </c>
    </row>
    <row r="28" spans="1:9" x14ac:dyDescent="0.25">
      <c r="A28" s="573" t="s">
        <v>176</v>
      </c>
      <c r="B28" s="571"/>
      <c r="C28" s="571">
        <v>2</v>
      </c>
      <c r="D28" s="571">
        <v>9</v>
      </c>
      <c r="E28" s="571">
        <v>15</v>
      </c>
      <c r="F28" s="571">
        <v>134</v>
      </c>
      <c r="G28" s="571">
        <v>28</v>
      </c>
      <c r="H28" s="571">
        <v>58</v>
      </c>
      <c r="I28" s="571">
        <v>246</v>
      </c>
    </row>
    <row r="29" spans="1:9" x14ac:dyDescent="0.25">
      <c r="A29" s="988" t="s">
        <v>254</v>
      </c>
      <c r="B29" s="571">
        <v>3</v>
      </c>
      <c r="C29" s="571">
        <v>42</v>
      </c>
      <c r="D29" s="571">
        <v>12</v>
      </c>
      <c r="E29" s="571">
        <v>47</v>
      </c>
      <c r="F29" s="571">
        <v>128</v>
      </c>
      <c r="G29" s="571">
        <v>1</v>
      </c>
      <c r="H29" s="571">
        <v>70</v>
      </c>
      <c r="I29" s="571">
        <v>303</v>
      </c>
    </row>
    <row r="30" spans="1:9" x14ac:dyDescent="0.25">
      <c r="A30" s="573" t="s">
        <v>263</v>
      </c>
      <c r="B30" s="571">
        <v>3</v>
      </c>
      <c r="C30" s="571">
        <v>42</v>
      </c>
      <c r="D30" s="571">
        <v>12</v>
      </c>
      <c r="E30" s="571">
        <v>47</v>
      </c>
      <c r="F30" s="571">
        <v>128</v>
      </c>
      <c r="G30" s="571">
        <v>1</v>
      </c>
      <c r="H30" s="571">
        <v>70</v>
      </c>
      <c r="I30" s="571">
        <v>303</v>
      </c>
    </row>
    <row r="31" spans="1:9" x14ac:dyDescent="0.25">
      <c r="A31" s="988" t="s">
        <v>255</v>
      </c>
      <c r="B31" s="571">
        <v>3</v>
      </c>
      <c r="C31" s="571">
        <v>49</v>
      </c>
      <c r="D31" s="571">
        <v>34</v>
      </c>
      <c r="E31" s="571">
        <v>84</v>
      </c>
      <c r="F31" s="571">
        <v>388</v>
      </c>
      <c r="G31" s="571">
        <v>64</v>
      </c>
      <c r="H31" s="571">
        <v>170</v>
      </c>
      <c r="I31" s="571">
        <v>792</v>
      </c>
    </row>
    <row r="43" spans="1:4" x14ac:dyDescent="0.25">
      <c r="A43" s="569" t="s">
        <v>274</v>
      </c>
      <c r="B43" t="s">
        <v>258</v>
      </c>
    </row>
    <row r="45" spans="1:4" x14ac:dyDescent="0.25">
      <c r="A45" s="569" t="s">
        <v>250</v>
      </c>
      <c r="B45" t="s">
        <v>260</v>
      </c>
      <c r="C45" t="s">
        <v>272</v>
      </c>
      <c r="D45" t="s">
        <v>273</v>
      </c>
    </row>
    <row r="46" spans="1:4" x14ac:dyDescent="0.25">
      <c r="A46" s="986" t="s">
        <v>251</v>
      </c>
      <c r="B46" s="571">
        <v>37</v>
      </c>
      <c r="C46" s="571">
        <v>40</v>
      </c>
      <c r="D46" s="571">
        <v>240</v>
      </c>
    </row>
    <row r="47" spans="1:4" x14ac:dyDescent="0.25">
      <c r="A47" s="573" t="s">
        <v>34</v>
      </c>
      <c r="B47" s="571">
        <v>25</v>
      </c>
      <c r="C47" s="571">
        <v>22</v>
      </c>
      <c r="D47" s="571">
        <v>156</v>
      </c>
    </row>
    <row r="48" spans="1:4" x14ac:dyDescent="0.25">
      <c r="A48" s="573" t="s">
        <v>36</v>
      </c>
      <c r="B48" s="571">
        <v>1</v>
      </c>
      <c r="C48" s="571"/>
      <c r="D48" s="571">
        <v>5</v>
      </c>
    </row>
    <row r="49" spans="1:4" x14ac:dyDescent="0.25">
      <c r="A49" s="573" t="s">
        <v>44</v>
      </c>
      <c r="B49" s="571">
        <v>7</v>
      </c>
      <c r="C49" s="571">
        <v>12</v>
      </c>
      <c r="D49" s="571">
        <v>43</v>
      </c>
    </row>
    <row r="50" spans="1:4" x14ac:dyDescent="0.25">
      <c r="A50" s="573" t="s">
        <v>49</v>
      </c>
      <c r="B50" s="571">
        <v>3</v>
      </c>
      <c r="C50" s="571">
        <v>3</v>
      </c>
      <c r="D50" s="571">
        <v>16</v>
      </c>
    </row>
    <row r="51" spans="1:4" x14ac:dyDescent="0.25">
      <c r="A51" s="573" t="s">
        <v>52</v>
      </c>
      <c r="B51" s="571"/>
      <c r="C51" s="571">
        <v>3</v>
      </c>
      <c r="D51" s="571">
        <v>19</v>
      </c>
    </row>
    <row r="52" spans="1:4" x14ac:dyDescent="0.25">
      <c r="A52" s="573" t="s">
        <v>57</v>
      </c>
      <c r="B52" s="571">
        <v>1</v>
      </c>
      <c r="C52" s="571"/>
      <c r="D52" s="571">
        <v>1</v>
      </c>
    </row>
    <row r="53" spans="1:4" x14ac:dyDescent="0.25">
      <c r="A53" s="986" t="s">
        <v>255</v>
      </c>
      <c r="B53" s="571">
        <v>37</v>
      </c>
      <c r="C53" s="571">
        <v>40</v>
      </c>
      <c r="D53" s="571">
        <v>240</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AFF0"/>
    <pageSetUpPr fitToPage="1"/>
  </sheetPr>
  <dimension ref="A1:I43"/>
  <sheetViews>
    <sheetView showGridLines="0" workbookViewId="0">
      <pane ySplit="2" topLeftCell="A3" activePane="bottomLeft" state="frozen"/>
      <selection sqref="A1:C1"/>
      <selection pane="bottomLeft"/>
    </sheetView>
  </sheetViews>
  <sheetFormatPr defaultRowHeight="15" x14ac:dyDescent="0.25"/>
  <cols>
    <col min="1" max="1" width="17.85546875" customWidth="1"/>
    <col min="2" max="2" width="25.85546875" customWidth="1"/>
    <col min="3" max="3" width="13.140625" customWidth="1"/>
    <col min="4" max="4" width="58.7109375" customWidth="1"/>
    <col min="5" max="5" width="13.140625" customWidth="1"/>
    <col min="6" max="6" width="20" customWidth="1"/>
    <col min="7" max="7" width="10" bestFit="1" customWidth="1"/>
  </cols>
  <sheetData>
    <row r="1" spans="1:6" ht="15.75" x14ac:dyDescent="0.25">
      <c r="A1" s="628" t="s">
        <v>525</v>
      </c>
    </row>
    <row r="2" spans="1:6" x14ac:dyDescent="0.25">
      <c r="A2" s="790" t="s">
        <v>598</v>
      </c>
    </row>
    <row r="3" spans="1:6" ht="15.75" x14ac:dyDescent="0.25">
      <c r="B3" s="628"/>
      <c r="C3" s="628"/>
      <c r="D3" s="628"/>
    </row>
    <row r="4" spans="1:6" ht="15" customHeight="1" x14ac:dyDescent="0.25">
      <c r="A4" t="s">
        <v>368</v>
      </c>
      <c r="B4" t="s">
        <v>738</v>
      </c>
      <c r="C4" s="629"/>
      <c r="D4" s="629"/>
      <c r="E4" s="629"/>
      <c r="F4" s="629"/>
    </row>
    <row r="5" spans="1:6" ht="15" customHeight="1" x14ac:dyDescent="0.25">
      <c r="A5" t="s">
        <v>369</v>
      </c>
      <c r="B5" s="629" t="s">
        <v>371</v>
      </c>
      <c r="C5" s="629"/>
      <c r="D5" s="629"/>
      <c r="E5" s="629"/>
      <c r="F5" s="629"/>
    </row>
    <row r="6" spans="1:6" ht="15" customHeight="1" x14ac:dyDescent="0.25">
      <c r="A6" t="s">
        <v>370</v>
      </c>
      <c r="B6" t="s">
        <v>372</v>
      </c>
      <c r="C6" s="629"/>
      <c r="D6" s="629"/>
      <c r="E6" s="629"/>
      <c r="F6" s="629"/>
    </row>
    <row r="7" spans="1:6" ht="15" customHeight="1" x14ac:dyDescent="0.25">
      <c r="B7" s="629"/>
      <c r="C7" s="629"/>
      <c r="D7" s="629"/>
      <c r="E7" s="629"/>
      <c r="F7" s="629"/>
    </row>
    <row r="8" spans="1:6" ht="30" x14ac:dyDescent="0.25">
      <c r="A8" s="649" t="s">
        <v>534</v>
      </c>
      <c r="B8" s="648" t="s">
        <v>123</v>
      </c>
      <c r="C8" s="649" t="s">
        <v>535</v>
      </c>
      <c r="D8" s="648" t="s">
        <v>62</v>
      </c>
      <c r="E8" s="649" t="s">
        <v>373</v>
      </c>
      <c r="F8" s="648" t="s">
        <v>15</v>
      </c>
    </row>
    <row r="9" spans="1:6" x14ac:dyDescent="0.25">
      <c r="A9" s="525" t="str">
        <f>TRS!B5</f>
        <v>S12000033</v>
      </c>
      <c r="B9" s="525" t="str">
        <f>TRS!A5</f>
        <v>Aberdeen City</v>
      </c>
      <c r="C9" s="525" t="str">
        <f>TRS!D5</f>
        <v>S39000001</v>
      </c>
      <c r="D9" s="525" t="str">
        <f>TRS!C5</f>
        <v>Aberdeen City</v>
      </c>
      <c r="E9" s="525" t="str">
        <f>TRS!F5</f>
        <v>S40000005</v>
      </c>
      <c r="F9" s="525" t="str">
        <f>TRS!E5</f>
        <v>North</v>
      </c>
    </row>
    <row r="10" spans="1:6" x14ac:dyDescent="0.25">
      <c r="A10" s="525" t="str">
        <f>TRS!B6</f>
        <v>S12000034</v>
      </c>
      <c r="B10" s="525" t="str">
        <f>TRS!A6</f>
        <v>Aberdeenshire</v>
      </c>
      <c r="C10" s="525" t="str">
        <f>TRS!D6</f>
        <v>S39000002</v>
      </c>
      <c r="D10" s="525" t="str">
        <f>TRS!C6</f>
        <v>Aberdeenshire and Moray</v>
      </c>
      <c r="E10" s="525" t="str">
        <f>TRS!F6</f>
        <v>S40000005</v>
      </c>
      <c r="F10" s="525" t="str">
        <f>TRS!E6</f>
        <v>North</v>
      </c>
    </row>
    <row r="11" spans="1:6" x14ac:dyDescent="0.25">
      <c r="A11" s="525" t="str">
        <f>TRS!B7</f>
        <v>S12000041</v>
      </c>
      <c r="B11" s="525" t="str">
        <f>TRS!A7</f>
        <v>Angus</v>
      </c>
      <c r="C11" s="525" t="str">
        <f>TRS!D7</f>
        <v>S39000018</v>
      </c>
      <c r="D11" s="525" t="str">
        <f>TRS!C7</f>
        <v>Dundee, Angus, Perth and Kinross</v>
      </c>
      <c r="E11" s="525" t="str">
        <f>TRS!F7</f>
        <v>S40000005</v>
      </c>
      <c r="F11" s="525" t="str">
        <f>TRS!E7</f>
        <v>North</v>
      </c>
    </row>
    <row r="12" spans="1:6" x14ac:dyDescent="0.25">
      <c r="A12" s="525" t="str">
        <f>TRS!B8</f>
        <v>S12000035</v>
      </c>
      <c r="B12" s="525" t="str">
        <f>TRS!A8</f>
        <v>Argyll and Bute</v>
      </c>
      <c r="C12" s="525" t="str">
        <f>TRS!D8</f>
        <v>S39000003</v>
      </c>
      <c r="D12" s="525" t="str">
        <f>TRS!C8</f>
        <v>Argyll and Bute, East Dunbartonshire and West Dunbartonshire</v>
      </c>
      <c r="E12" s="525" t="str">
        <f>TRS!F8</f>
        <v>S40000003</v>
      </c>
      <c r="F12" s="525" t="str">
        <f>TRS!E8</f>
        <v>West</v>
      </c>
    </row>
    <row r="13" spans="1:6" x14ac:dyDescent="0.25">
      <c r="A13" s="525" t="str">
        <f>TRS!B9</f>
        <v>S12000036</v>
      </c>
      <c r="B13" s="525" t="str">
        <f>TRS!A9</f>
        <v>City of Edinburgh</v>
      </c>
      <c r="C13" s="525" t="str">
        <f>TRS!D9</f>
        <v>S39000009</v>
      </c>
      <c r="D13" s="525" t="str">
        <f>TRS!C9</f>
        <v>Edinburgh City</v>
      </c>
      <c r="E13" s="525" t="str">
        <f>TRS!F9</f>
        <v>S40000004</v>
      </c>
      <c r="F13" s="525" t="str">
        <f>TRS!E9</f>
        <v>East</v>
      </c>
    </row>
    <row r="14" spans="1:6" x14ac:dyDescent="0.25">
      <c r="A14" s="525" t="str">
        <f>TRS!B10</f>
        <v>S12000005</v>
      </c>
      <c r="B14" s="525" t="str">
        <f>TRS!A10</f>
        <v>Clackmannanshire</v>
      </c>
      <c r="C14" s="525" t="str">
        <f>TRS!D10</f>
        <v>S39000016</v>
      </c>
      <c r="D14" s="525" t="str">
        <f>TRS!C10</f>
        <v>Stirling and Clackmannanshire</v>
      </c>
      <c r="E14" s="525" t="str">
        <f>TRS!F10</f>
        <v>S40000004</v>
      </c>
      <c r="F14" s="525" t="str">
        <f>TRS!E10</f>
        <v>East</v>
      </c>
    </row>
    <row r="15" spans="1:6" x14ac:dyDescent="0.25">
      <c r="A15" s="525" t="str">
        <f>TRS!B11</f>
        <v>S12000006</v>
      </c>
      <c r="B15" s="525" t="str">
        <f>TRS!A11</f>
        <v>Dumfries and Galloway</v>
      </c>
      <c r="C15" s="525" t="str">
        <f>TRS!D11</f>
        <v>S39000004</v>
      </c>
      <c r="D15" s="525" t="str">
        <f>TRS!C11</f>
        <v>Dumfries and Galloway</v>
      </c>
      <c r="E15" s="525" t="str">
        <f>TRS!F11</f>
        <v>S40000003</v>
      </c>
      <c r="F15" s="525" t="str">
        <f>TRS!E11</f>
        <v>West</v>
      </c>
    </row>
    <row r="16" spans="1:6" x14ac:dyDescent="0.25">
      <c r="A16" s="525" t="str">
        <f>TRS!B12</f>
        <v>S12000042</v>
      </c>
      <c r="B16" s="525" t="str">
        <f>TRS!A12</f>
        <v>Dundee City</v>
      </c>
      <c r="C16" s="525" t="str">
        <f>TRS!D12</f>
        <v>S39000018</v>
      </c>
      <c r="D16" s="525" t="str">
        <f>TRS!C12</f>
        <v>Dundee, Angus, Perth and Kinross</v>
      </c>
      <c r="E16" s="525" t="str">
        <f>TRS!F12</f>
        <v>S40000005</v>
      </c>
      <c r="F16" s="525" t="str">
        <f>TRS!E12</f>
        <v>North</v>
      </c>
    </row>
    <row r="17" spans="1:6" x14ac:dyDescent="0.25">
      <c r="A17" s="525" t="str">
        <f>TRS!B13</f>
        <v>S12000008</v>
      </c>
      <c r="B17" s="525" t="str">
        <f>TRS!A13</f>
        <v>East Ayrshire</v>
      </c>
      <c r="C17" s="525" t="str">
        <f>TRS!D13</f>
        <v>S39000006</v>
      </c>
      <c r="D17" s="525" t="str">
        <f>TRS!C13</f>
        <v>East Ayrshire, North Ayrshire and South Ayrshire</v>
      </c>
      <c r="E17" s="525" t="str">
        <f>TRS!F13</f>
        <v>S40000003</v>
      </c>
      <c r="F17" s="525" t="str">
        <f>TRS!E13</f>
        <v>West</v>
      </c>
    </row>
    <row r="18" spans="1:6" x14ac:dyDescent="0.25">
      <c r="A18" s="525" t="str">
        <f>TRS!B14</f>
        <v>S12000045</v>
      </c>
      <c r="B18" s="525" t="str">
        <f>TRS!A14</f>
        <v>East Dunbartonshire</v>
      </c>
      <c r="C18" s="525" t="str">
        <f>TRS!D14</f>
        <v>S39000003</v>
      </c>
      <c r="D18" s="525" t="str">
        <f>TRS!C14</f>
        <v>Argyll and Bute, East Dunbartonshire and West Dunbartonshire</v>
      </c>
      <c r="E18" s="525" t="str">
        <f>TRS!F14</f>
        <v>S40000003</v>
      </c>
      <c r="F18" s="525" t="str">
        <f>TRS!E14</f>
        <v>West</v>
      </c>
    </row>
    <row r="19" spans="1:6" x14ac:dyDescent="0.25">
      <c r="A19" s="525" t="str">
        <f>TRS!B15</f>
        <v>S12000010</v>
      </c>
      <c r="B19" s="525" t="str">
        <f>TRS!A15</f>
        <v>East Lothian</v>
      </c>
      <c r="C19" s="525" t="str">
        <f>TRS!D15</f>
        <v>S39000007</v>
      </c>
      <c r="D19" s="525" t="str">
        <f>TRS!C15</f>
        <v>East Lothian, Midlothian and the Scottish Borders</v>
      </c>
      <c r="E19" s="525" t="str">
        <f>TRS!F15</f>
        <v>S40000004</v>
      </c>
      <c r="F19" s="525" t="str">
        <f>TRS!E15</f>
        <v>East</v>
      </c>
    </row>
    <row r="20" spans="1:6" x14ac:dyDescent="0.25">
      <c r="A20" s="525" t="str">
        <f>TRS!B16</f>
        <v>S12000011</v>
      </c>
      <c r="B20" s="525" t="str">
        <f>TRS!A16</f>
        <v>East Renfrewshire</v>
      </c>
      <c r="C20" s="525" t="str">
        <f>TRS!D16</f>
        <v>S39000008</v>
      </c>
      <c r="D20" s="525" t="str">
        <f>TRS!C16</f>
        <v>East Renfrewshire, Renfrewshire and Inverclyde</v>
      </c>
      <c r="E20" s="525" t="str">
        <f>TRS!F16</f>
        <v>S40000003</v>
      </c>
      <c r="F20" s="525" t="str">
        <f>TRS!E16</f>
        <v>West</v>
      </c>
    </row>
    <row r="21" spans="1:6" x14ac:dyDescent="0.25">
      <c r="A21" s="525" t="str">
        <f>TRS!B17</f>
        <v>S12000014</v>
      </c>
      <c r="B21" s="525" t="str">
        <f>TRS!A17</f>
        <v>Falkirk</v>
      </c>
      <c r="C21" s="525" t="str">
        <f>TRS!D17</f>
        <v>S39000010</v>
      </c>
      <c r="D21" s="525" t="str">
        <f>TRS!C17</f>
        <v>Falkirk and West Lothian</v>
      </c>
      <c r="E21" s="525" t="str">
        <f>TRS!F17</f>
        <v>S40000004</v>
      </c>
      <c r="F21" s="525" t="str">
        <f>TRS!E17</f>
        <v>East</v>
      </c>
    </row>
    <row r="22" spans="1:6" x14ac:dyDescent="0.25">
      <c r="A22" s="525" t="str">
        <f>TRS!B18</f>
        <v>S12000047</v>
      </c>
      <c r="B22" s="525" t="str">
        <f>TRS!A18</f>
        <v>Fife</v>
      </c>
      <c r="C22" s="525" t="str">
        <f>TRS!D18</f>
        <v>S39000019</v>
      </c>
      <c r="D22" s="525" t="str">
        <f>TRS!C18</f>
        <v>Fife</v>
      </c>
      <c r="E22" s="525" t="str">
        <f>TRS!F18</f>
        <v>S40000004</v>
      </c>
      <c r="F22" s="525" t="str">
        <f>TRS!E18</f>
        <v>East</v>
      </c>
    </row>
    <row r="23" spans="1:6" x14ac:dyDescent="0.25">
      <c r="A23" s="525" t="str">
        <f>TRS!B19</f>
        <v>S12000046</v>
      </c>
      <c r="B23" s="525" t="str">
        <f>TRS!A19</f>
        <v>Glasgow City</v>
      </c>
      <c r="C23" s="525" t="str">
        <f>TRS!D19</f>
        <v>S39000012</v>
      </c>
      <c r="D23" s="525" t="str">
        <f>TRS!C19</f>
        <v>Glasgow City</v>
      </c>
      <c r="E23" s="525" t="str">
        <f>TRS!F19</f>
        <v>S40000003</v>
      </c>
      <c r="F23" s="525" t="str">
        <f>TRS!E19</f>
        <v>West</v>
      </c>
    </row>
    <row r="24" spans="1:6" x14ac:dyDescent="0.25">
      <c r="A24" s="525" t="str">
        <f>TRS!B20</f>
        <v>S12000017</v>
      </c>
      <c r="B24" s="525" t="str">
        <f>TRS!A20</f>
        <v>Highland</v>
      </c>
      <c r="C24" s="525" t="str">
        <f>TRS!D20</f>
        <v>S39000013</v>
      </c>
      <c r="D24" s="525" t="str">
        <f>TRS!C20</f>
        <v>Highlands</v>
      </c>
      <c r="E24" s="525" t="str">
        <f>TRS!F20</f>
        <v>S40000005</v>
      </c>
      <c r="F24" s="525" t="str">
        <f>TRS!E20</f>
        <v>North</v>
      </c>
    </row>
    <row r="25" spans="1:6" x14ac:dyDescent="0.25">
      <c r="A25" s="525" t="str">
        <f>TRS!B21</f>
        <v>S12000018</v>
      </c>
      <c r="B25" s="525" t="str">
        <f>TRS!A21</f>
        <v>Inverclyde</v>
      </c>
      <c r="C25" s="525" t="str">
        <f>TRS!D21</f>
        <v>S39000008</v>
      </c>
      <c r="D25" s="525" t="str">
        <f>TRS!C21</f>
        <v>East Renfrewshire, Renfrewshire and Inverclyde</v>
      </c>
      <c r="E25" s="525" t="str">
        <f>TRS!F21</f>
        <v>S40000003</v>
      </c>
      <c r="F25" s="525" t="str">
        <f>TRS!E21</f>
        <v>West</v>
      </c>
    </row>
    <row r="26" spans="1:6" x14ac:dyDescent="0.25">
      <c r="A26" s="525" t="str">
        <f>TRS!B22</f>
        <v>S12000019</v>
      </c>
      <c r="B26" s="525" t="str">
        <f>TRS!A22</f>
        <v>Midlothian</v>
      </c>
      <c r="C26" s="525" t="str">
        <f>TRS!D22</f>
        <v>S39000007</v>
      </c>
      <c r="D26" s="525" t="str">
        <f>TRS!C22</f>
        <v>East Lothian, Midlothian and the Scottish Borders</v>
      </c>
      <c r="E26" s="525" t="str">
        <f>TRS!F22</f>
        <v>S40000004</v>
      </c>
      <c r="F26" s="525" t="str">
        <f>TRS!E22</f>
        <v>East</v>
      </c>
    </row>
    <row r="27" spans="1:6" x14ac:dyDescent="0.25">
      <c r="A27" s="525" t="str">
        <f>TRS!B23</f>
        <v>S12000020</v>
      </c>
      <c r="B27" s="525" t="str">
        <f>TRS!A23</f>
        <v>Moray</v>
      </c>
      <c r="C27" s="525" t="str">
        <f>TRS!D23</f>
        <v>S39000002</v>
      </c>
      <c r="D27" s="525" t="str">
        <f>TRS!C23</f>
        <v>Aberdeenshire and Moray</v>
      </c>
      <c r="E27" s="525" t="str">
        <f>TRS!F23</f>
        <v>S40000005</v>
      </c>
      <c r="F27" s="525" t="str">
        <f>TRS!E23</f>
        <v>North</v>
      </c>
    </row>
    <row r="28" spans="1:6" x14ac:dyDescent="0.25">
      <c r="A28" s="525" t="str">
        <f>TRS!B24</f>
        <v>S12000013</v>
      </c>
      <c r="B28" s="525" t="str">
        <f>TRS!A24</f>
        <v>Na h-Eileanan Siar</v>
      </c>
      <c r="C28" s="525" t="str">
        <f>TRS!D24</f>
        <v>S39000017</v>
      </c>
      <c r="D28" s="525" t="str">
        <f>TRS!C24</f>
        <v>Western Isles, Orkney and Shetland Islands</v>
      </c>
      <c r="E28" s="525" t="str">
        <f>TRS!F24</f>
        <v>S40000005</v>
      </c>
      <c r="F28" s="525" t="str">
        <f>TRS!E24</f>
        <v>North</v>
      </c>
    </row>
    <row r="29" spans="1:6" x14ac:dyDescent="0.25">
      <c r="A29" s="525" t="str">
        <f>TRS!B25</f>
        <v>S12000021</v>
      </c>
      <c r="B29" s="525" t="str">
        <f>TRS!A25</f>
        <v>North Ayrshire</v>
      </c>
      <c r="C29" s="525" t="str">
        <f>TRS!D25</f>
        <v>S39000006</v>
      </c>
      <c r="D29" s="525" t="str">
        <f>TRS!C25</f>
        <v>East Ayrshire, North Ayrshire and South Ayrshire</v>
      </c>
      <c r="E29" s="525" t="str">
        <f>TRS!F25</f>
        <v>S40000003</v>
      </c>
      <c r="F29" s="525" t="str">
        <f>TRS!E25</f>
        <v>West</v>
      </c>
    </row>
    <row r="30" spans="1:6" x14ac:dyDescent="0.25">
      <c r="A30" s="525" t="str">
        <f>TRS!B26</f>
        <v>S12000044</v>
      </c>
      <c r="B30" s="525" t="str">
        <f>TRS!A26</f>
        <v>North Lanarkshire</v>
      </c>
      <c r="C30" s="525" t="str">
        <f>TRS!D26</f>
        <v>S39000014</v>
      </c>
      <c r="D30" s="525" t="str">
        <f>TRS!C26</f>
        <v>North Lanarkshire</v>
      </c>
      <c r="E30" s="525" t="str">
        <f>TRS!F26</f>
        <v>S40000003</v>
      </c>
      <c r="F30" s="525" t="str">
        <f>TRS!E26</f>
        <v>West</v>
      </c>
    </row>
    <row r="31" spans="1:6" x14ac:dyDescent="0.25">
      <c r="A31" s="525" t="str">
        <f>TRS!B27</f>
        <v>S12000023</v>
      </c>
      <c r="B31" s="525" t="str">
        <f>TRS!A27</f>
        <v>Orkney Islands</v>
      </c>
      <c r="C31" s="525" t="str">
        <f>TRS!D27</f>
        <v>S39000017</v>
      </c>
      <c r="D31" s="525" t="str">
        <f>TRS!C27</f>
        <v>Western Isles, Orkney and Shetland Islands</v>
      </c>
      <c r="E31" s="525" t="str">
        <f>TRS!F27</f>
        <v>S40000005</v>
      </c>
      <c r="F31" s="525" t="str">
        <f>TRS!E27</f>
        <v>North</v>
      </c>
    </row>
    <row r="32" spans="1:6" x14ac:dyDescent="0.25">
      <c r="A32" s="525" t="str">
        <f>TRS!B28</f>
        <v>S12000024</v>
      </c>
      <c r="B32" s="525" t="str">
        <f>TRS!A28</f>
        <v>Perth and Kinross</v>
      </c>
      <c r="C32" s="525" t="str">
        <f>TRS!D28</f>
        <v>S39000018</v>
      </c>
      <c r="D32" s="525" t="str">
        <f>TRS!C28</f>
        <v>Dundee, Angus, Perth and Kinross</v>
      </c>
      <c r="E32" s="525" t="str">
        <f>TRS!F28</f>
        <v>S40000005</v>
      </c>
      <c r="F32" s="525" t="str">
        <f>TRS!E28</f>
        <v>North</v>
      </c>
    </row>
    <row r="33" spans="1:9" x14ac:dyDescent="0.25">
      <c r="A33" s="525" t="str">
        <f>TRS!B29</f>
        <v>S12000038</v>
      </c>
      <c r="B33" s="525" t="str">
        <f>TRS!A29</f>
        <v>Renfrewshire</v>
      </c>
      <c r="C33" s="525" t="str">
        <f>TRS!D29</f>
        <v>S39000008</v>
      </c>
      <c r="D33" s="525" t="str">
        <f>TRS!C29</f>
        <v>East Renfrewshire, Renfrewshire and Inverclyde</v>
      </c>
      <c r="E33" s="525" t="str">
        <f>TRS!F29</f>
        <v>S40000003</v>
      </c>
      <c r="F33" s="525" t="str">
        <f>TRS!E29</f>
        <v>West</v>
      </c>
    </row>
    <row r="34" spans="1:9" x14ac:dyDescent="0.25">
      <c r="A34" s="525" t="str">
        <f>TRS!B30</f>
        <v>S12000026</v>
      </c>
      <c r="B34" s="525" t="str">
        <f>TRS!A30</f>
        <v>Scottish Borders</v>
      </c>
      <c r="C34" s="525" t="str">
        <f>TRS!D30</f>
        <v>S39000007</v>
      </c>
      <c r="D34" s="525" t="str">
        <f>TRS!C30</f>
        <v>East Lothian, Midlothian and the Scottish Borders</v>
      </c>
      <c r="E34" s="525" t="str">
        <f>TRS!F30</f>
        <v>S40000004</v>
      </c>
      <c r="F34" s="525" t="str">
        <f>TRS!E30</f>
        <v>East</v>
      </c>
    </row>
    <row r="35" spans="1:9" x14ac:dyDescent="0.25">
      <c r="A35" s="525" t="str">
        <f>TRS!B31</f>
        <v>S12000027</v>
      </c>
      <c r="B35" s="525" t="str">
        <f>TRS!A31</f>
        <v>Shetland Islands</v>
      </c>
      <c r="C35" s="525" t="str">
        <f>TRS!D31</f>
        <v>S39000017</v>
      </c>
      <c r="D35" s="525" t="str">
        <f>TRS!C31</f>
        <v>Western Isles, Orkney and Shetland Islands</v>
      </c>
      <c r="E35" s="525" t="str">
        <f>TRS!F31</f>
        <v>S40000005</v>
      </c>
      <c r="F35" s="525" t="str">
        <f>TRS!E31</f>
        <v>North</v>
      </c>
    </row>
    <row r="36" spans="1:9" x14ac:dyDescent="0.25">
      <c r="A36" s="525" t="str">
        <f>TRS!B32</f>
        <v>S12000028</v>
      </c>
      <c r="B36" s="525" t="str">
        <f>TRS!A32</f>
        <v>South Ayrshire</v>
      </c>
      <c r="C36" s="525" t="str">
        <f>TRS!D32</f>
        <v>S39000006</v>
      </c>
      <c r="D36" s="525" t="str">
        <f>TRS!C32</f>
        <v>East Ayrshire, North Ayrshire and South Ayrshire</v>
      </c>
      <c r="E36" s="525" t="str">
        <f>TRS!F32</f>
        <v>S40000003</v>
      </c>
      <c r="F36" s="525" t="str">
        <f>TRS!E32</f>
        <v>West</v>
      </c>
    </row>
    <row r="37" spans="1:9" x14ac:dyDescent="0.25">
      <c r="A37" s="525" t="str">
        <f>TRS!B33</f>
        <v>S12000029</v>
      </c>
      <c r="B37" s="525" t="str">
        <f>TRS!A33</f>
        <v>South Lanarkshire</v>
      </c>
      <c r="C37" s="525" t="str">
        <f>TRS!D33</f>
        <v>S39000015</v>
      </c>
      <c r="D37" s="525" t="str">
        <f>TRS!C33</f>
        <v>South Lanarkshire</v>
      </c>
      <c r="E37" s="525" t="str">
        <f>TRS!F33</f>
        <v>S40000003</v>
      </c>
      <c r="F37" s="525" t="str">
        <f>TRS!E33</f>
        <v>West</v>
      </c>
    </row>
    <row r="38" spans="1:9" x14ac:dyDescent="0.25">
      <c r="A38" s="525" t="str">
        <f>TRS!B34</f>
        <v>S12000030</v>
      </c>
      <c r="B38" s="525" t="str">
        <f>TRS!A34</f>
        <v>Stirling</v>
      </c>
      <c r="C38" s="525" t="str">
        <f>TRS!D34</f>
        <v>S39000016</v>
      </c>
      <c r="D38" s="525" t="str">
        <f>TRS!C34</f>
        <v>Stirling and Clackmannanshire</v>
      </c>
      <c r="E38" s="525" t="str">
        <f>TRS!F34</f>
        <v>S40000004</v>
      </c>
      <c r="F38" s="525" t="str">
        <f>TRS!E34</f>
        <v>East</v>
      </c>
    </row>
    <row r="39" spans="1:9" x14ac:dyDescent="0.25">
      <c r="A39" s="525" t="str">
        <f>TRS!B35</f>
        <v>S12000039</v>
      </c>
      <c r="B39" s="525" t="str">
        <f>TRS!A35</f>
        <v>West Dunbartonshire</v>
      </c>
      <c r="C39" s="525" t="str">
        <f>TRS!D35</f>
        <v>S39000003</v>
      </c>
      <c r="D39" s="525" t="str">
        <f>TRS!C35</f>
        <v>Argyll and Bute, East Dunbartonshire and West Dunbartonshire</v>
      </c>
      <c r="E39" s="525" t="str">
        <f>TRS!F35</f>
        <v>S40000003</v>
      </c>
      <c r="F39" s="525" t="str">
        <f>TRS!E35</f>
        <v>West</v>
      </c>
    </row>
    <row r="40" spans="1:9" ht="15.75" thickBot="1" x14ac:dyDescent="0.3">
      <c r="A40" s="961" t="str">
        <f>TRS!B36</f>
        <v>S12000040</v>
      </c>
      <c r="B40" s="961" t="str">
        <f>TRS!A36</f>
        <v>West Lothian</v>
      </c>
      <c r="C40" s="961" t="str">
        <f>TRS!D36</f>
        <v>S39000010</v>
      </c>
      <c r="D40" s="961" t="str">
        <f>TRS!C36</f>
        <v>Falkirk and West Lothian</v>
      </c>
      <c r="E40" s="961" t="str">
        <f>TRS!F36</f>
        <v>S40000004</v>
      </c>
      <c r="F40" s="961" t="str">
        <f>TRS!E36</f>
        <v>East</v>
      </c>
    </row>
    <row r="42" spans="1:9" x14ac:dyDescent="0.25">
      <c r="A42" s="438" t="s">
        <v>8</v>
      </c>
    </row>
    <row r="43" spans="1:9" ht="30" customHeight="1" x14ac:dyDescent="0.25">
      <c r="A43" s="992" t="s">
        <v>526</v>
      </c>
      <c r="B43" s="992"/>
      <c r="C43" s="992"/>
      <c r="D43" s="992"/>
      <c r="E43" s="992"/>
      <c r="F43" s="992"/>
      <c r="G43" s="552"/>
      <c r="H43" s="552"/>
      <c r="I43" s="552"/>
    </row>
  </sheetData>
  <sheetProtection algorithmName="SHA-512" hashValue="fpKBFik4H4my52kgalQlIzu/826LYnKIhrxvN5PDNViA1sxevqY7L56hm9rzZ2RGLu2Wq7wKxIx67Po2XGRuXw==" saltValue="7atKfY3PhprZnjTvmOV5PA==" spinCount="100000" sheet="1" objects="1" scenarios="1"/>
  <mergeCells count="1">
    <mergeCell ref="A43:F43"/>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4"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39997558519241921"/>
    <pageSetUpPr fitToPage="1"/>
  </sheetPr>
  <dimension ref="A1:K84"/>
  <sheetViews>
    <sheetView showGridLines="0" workbookViewId="0">
      <pane ySplit="2" topLeftCell="A3" activePane="bottomLeft" state="frozen"/>
      <selection sqref="A1:C1"/>
      <selection pane="bottomLeft" sqref="A1:G1"/>
    </sheetView>
  </sheetViews>
  <sheetFormatPr defaultRowHeight="15" x14ac:dyDescent="0.25"/>
  <cols>
    <col min="1" max="1" width="17" customWidth="1"/>
    <col min="2" max="2" width="58.140625" customWidth="1"/>
    <col min="3" max="9" width="10.85546875" customWidth="1"/>
    <col min="10" max="10" width="13" customWidth="1"/>
  </cols>
  <sheetData>
    <row r="1" spans="1:10" ht="15.75" x14ac:dyDescent="0.25">
      <c r="A1" s="993" t="s">
        <v>523</v>
      </c>
      <c r="B1" s="993"/>
      <c r="C1" s="993"/>
      <c r="D1" s="993"/>
      <c r="E1" s="993"/>
      <c r="F1" s="993"/>
      <c r="G1" s="993"/>
    </row>
    <row r="2" spans="1:10" ht="15.75" x14ac:dyDescent="0.25">
      <c r="A2" s="790" t="s">
        <v>598</v>
      </c>
      <c r="C2" s="668"/>
      <c r="D2" s="668"/>
      <c r="E2" s="668"/>
      <c r="F2" s="668"/>
      <c r="G2" s="668"/>
    </row>
    <row r="3" spans="1:10" ht="15.75" x14ac:dyDescent="0.25">
      <c r="A3" t="s">
        <v>1063</v>
      </c>
      <c r="C3" s="668"/>
      <c r="D3" s="668"/>
      <c r="E3" s="668"/>
      <c r="F3" s="668"/>
      <c r="G3" s="668"/>
    </row>
    <row r="4" spans="1:10" ht="37.5" customHeight="1" x14ac:dyDescent="0.25">
      <c r="A4" s="684" t="s">
        <v>549</v>
      </c>
      <c r="B4" s="684"/>
      <c r="C4" s="684"/>
      <c r="D4" s="684"/>
      <c r="E4" s="684"/>
      <c r="F4" s="684"/>
      <c r="G4" s="684"/>
      <c r="H4" s="684"/>
      <c r="I4" s="684"/>
    </row>
    <row r="5" spans="1:10" ht="15" customHeight="1" x14ac:dyDescent="0.25">
      <c r="A5" t="s">
        <v>368</v>
      </c>
      <c r="B5" t="s">
        <v>779</v>
      </c>
      <c r="C5" s="684"/>
      <c r="D5" s="684"/>
      <c r="E5" s="684"/>
      <c r="F5" s="684"/>
      <c r="G5" s="684"/>
      <c r="H5" s="684"/>
      <c r="I5" s="684"/>
    </row>
    <row r="6" spans="1:10" ht="15" customHeight="1" x14ac:dyDescent="0.25">
      <c r="A6" t="s">
        <v>369</v>
      </c>
      <c r="B6" t="s">
        <v>371</v>
      </c>
      <c r="C6" s="684"/>
      <c r="D6" s="684"/>
      <c r="E6" s="684"/>
      <c r="F6" s="684"/>
      <c r="G6" s="684"/>
      <c r="H6" s="684"/>
      <c r="I6" s="684"/>
    </row>
    <row r="7" spans="1:10" ht="15" customHeight="1" x14ac:dyDescent="0.25">
      <c r="A7" t="s">
        <v>370</v>
      </c>
      <c r="B7" t="s">
        <v>372</v>
      </c>
      <c r="C7" s="684"/>
      <c r="D7" s="684"/>
      <c r="E7" s="684"/>
      <c r="F7" s="684"/>
      <c r="G7" s="684"/>
      <c r="H7" s="684"/>
      <c r="I7" s="684"/>
    </row>
    <row r="8" spans="1:10" ht="33.75" customHeight="1" x14ac:dyDescent="0.25">
      <c r="B8" s="47" t="s">
        <v>222</v>
      </c>
      <c r="C8" s="4" t="s">
        <v>212</v>
      </c>
      <c r="D8" s="54" t="s">
        <v>18</v>
      </c>
      <c r="E8" s="54" t="s">
        <v>19</v>
      </c>
      <c r="F8" s="54" t="s">
        <v>20</v>
      </c>
      <c r="G8" s="54" t="s">
        <v>21</v>
      </c>
      <c r="H8" s="54" t="s">
        <v>22</v>
      </c>
      <c r="I8" s="54" t="s">
        <v>23</v>
      </c>
      <c r="J8" s="54" t="s">
        <v>26</v>
      </c>
    </row>
    <row r="9" spans="1:10" ht="22.5" customHeight="1" thickBot="1" x14ac:dyDescent="0.3">
      <c r="B9" s="49" t="s">
        <v>82</v>
      </c>
      <c r="C9" s="462">
        <f>GETPIVOTDATA("Sum of Brigade Manager",h5a!$A$3,"ReportingLevel","Total","lvl","Scotland")</f>
        <v>4</v>
      </c>
      <c r="D9" s="462">
        <f>GETPIVOTDATA("Sum of Area Manager",h5a!$A$3,"ReportingLevel","Total","lvl","Scotland")</f>
        <v>33</v>
      </c>
      <c r="E9" s="462">
        <f>GETPIVOTDATA("Sum of Group Manager",h5a!$A$3,"ReportingLevel","Total","lvl","Scotland")</f>
        <v>80</v>
      </c>
      <c r="F9" s="462">
        <f>GETPIVOTDATA("Sum of Station Manager",h5a!$A$3,"ReportingLevel","Total","lvl","Scotland")</f>
        <v>147</v>
      </c>
      <c r="G9" s="462">
        <f>GETPIVOTDATA("Sum of Watch Manager",h5a!$A$3,"ReportingLevel","Total","lvl","Scotland")</f>
        <v>611</v>
      </c>
      <c r="H9" s="462">
        <f>GETPIVOTDATA("Sum of Crew Manager",h5a!$A$3,"ReportingLevel","Total","lvl","Scotland")</f>
        <v>687</v>
      </c>
      <c r="I9" s="462">
        <f>GETPIVOTDATA("Sum of Firefighter",h5a!$A$3,"ReportingLevel","Total","lvl","Scotland")</f>
        <v>2074</v>
      </c>
      <c r="J9" s="462">
        <f>GETPIVOTDATA("Sum of Total",h5a!$A$3,"ReportingLevel","Total","lvl","Scotland")</f>
        <v>3636</v>
      </c>
    </row>
    <row r="10" spans="1:10" ht="21" customHeight="1" x14ac:dyDescent="0.25">
      <c r="B10" s="50"/>
      <c r="C10" s="118"/>
      <c r="D10" s="118"/>
      <c r="E10" s="118"/>
      <c r="F10" s="118"/>
      <c r="G10" s="118"/>
      <c r="H10" s="118"/>
      <c r="I10" s="118"/>
      <c r="J10" s="118"/>
    </row>
    <row r="11" spans="1:10" ht="13.5" customHeight="1" x14ac:dyDescent="0.25">
      <c r="A11" s="53" t="s">
        <v>534</v>
      </c>
      <c r="B11" s="53" t="s">
        <v>30</v>
      </c>
      <c r="C11" s="55"/>
      <c r="D11" s="55"/>
      <c r="E11" s="55"/>
      <c r="F11" s="55"/>
      <c r="G11" s="55"/>
      <c r="H11" s="55"/>
      <c r="I11" s="55"/>
      <c r="J11" s="93"/>
    </row>
    <row r="12" spans="1:10" ht="23.25" customHeight="1" x14ac:dyDescent="0.25">
      <c r="A12" s="577" t="s">
        <v>306</v>
      </c>
      <c r="B12" s="56" t="s">
        <v>31</v>
      </c>
      <c r="C12" s="660">
        <f>IFERROR(GETPIVOTDATA("Sum of Brigade Manager",h5a!$A$3,"ReportingLevel","1:LA","lvl",$B12),0)</f>
        <v>0</v>
      </c>
      <c r="D12" s="660">
        <f>IFERROR(GETPIVOTDATA("Sum of Area Manager",h5a!$A$3,"ReportingLevel","1:LA","lvl",$B12),0)</f>
        <v>0</v>
      </c>
      <c r="E12" s="660">
        <f>IFERROR(GETPIVOTDATA("Sum of Group Manager",h5a!$A$3,"ReportingLevel","1:LA","lvl",$B12),0)</f>
        <v>0</v>
      </c>
      <c r="F12" s="660">
        <f>IFERROR(GETPIVOTDATA("Sum of Station Manager",h5a!$A$3,"ReportingLevel","1:LA","lvl",$B12),0)</f>
        <v>0</v>
      </c>
      <c r="G12" s="416">
        <f>IFERROR(GETPIVOTDATA("Sum of Watch Manager",h5a!$A$3,"ReportingLevel","1:LA","lvl",$B12),0)</f>
        <v>15</v>
      </c>
      <c r="H12" s="416">
        <f>IFERROR(GETPIVOTDATA("Sum of Crew Manager",h5a!$A$3,"ReportingLevel","1:LA","lvl",$B12),0)</f>
        <v>35</v>
      </c>
      <c r="I12" s="416">
        <f>IFERROR(GETPIVOTDATA("Sum of Firefighter",h5a!$A$3,"ReportingLevel","1:LA","lvl",$B12),0)</f>
        <v>103</v>
      </c>
      <c r="J12" s="109">
        <f t="shared" ref="J12:J43" si="0">SUM(C12:I12)</f>
        <v>153</v>
      </c>
    </row>
    <row r="13" spans="1:10" ht="15" customHeight="1" x14ac:dyDescent="0.25">
      <c r="A13" s="578" t="s">
        <v>307</v>
      </c>
      <c r="B13" s="59" t="s">
        <v>32</v>
      </c>
      <c r="C13" s="661">
        <f>IFERROR(GETPIVOTDATA("Sum of Brigade Manager",h5a!$A$3,"ReportingLevel","1:LA","lvl",$B13),0)</f>
        <v>0</v>
      </c>
      <c r="D13" s="661">
        <f>IFERROR(GETPIVOTDATA("Sum of Area Manager",h5a!$A$3,"ReportingLevel","1:LA","lvl",$B13),0)</f>
        <v>0</v>
      </c>
      <c r="E13" s="661">
        <f>IFERROR(GETPIVOTDATA("Sum of Group Manager",h5a!$A$3,"ReportingLevel","1:LA","lvl",$B13),0)</f>
        <v>0</v>
      </c>
      <c r="F13" s="661">
        <f>IFERROR(GETPIVOTDATA("Sum of Station Manager",h5a!$A$3,"ReportingLevel","1:LA","lvl",$B13),0)</f>
        <v>0</v>
      </c>
      <c r="G13" s="83">
        <f>IFERROR(GETPIVOTDATA("Sum of Watch Manager",h5a!$A$3,"ReportingLevel","1:LA","lvl",$B13),0)</f>
        <v>5</v>
      </c>
      <c r="H13" s="83">
        <f>IFERROR(GETPIVOTDATA("Sum of Crew Manager",h5a!$A$3,"ReportingLevel","1:LA","lvl",$B13),0)</f>
        <v>5</v>
      </c>
      <c r="I13" s="83">
        <f>IFERROR(GETPIVOTDATA("Sum of Firefighter",h5a!$A$3,"ReportingLevel","1:LA","lvl",$B13),0)</f>
        <v>20</v>
      </c>
      <c r="J13" s="109">
        <f t="shared" si="0"/>
        <v>30</v>
      </c>
    </row>
    <row r="14" spans="1:10" ht="15" customHeight="1" x14ac:dyDescent="0.25">
      <c r="A14" s="578" t="s">
        <v>313</v>
      </c>
      <c r="B14" s="59" t="s">
        <v>33</v>
      </c>
      <c r="C14" s="661">
        <f>IFERROR(GETPIVOTDATA("Sum of Brigade Manager",h5a!$A$3,"ReportingLevel","1:LA","lvl",$B14),0)</f>
        <v>0</v>
      </c>
      <c r="D14" s="661">
        <f>IFERROR(GETPIVOTDATA("Sum of Area Manager",h5a!$A$3,"ReportingLevel","1:LA","lvl",$B14),0)</f>
        <v>0</v>
      </c>
      <c r="E14" s="661">
        <f>IFERROR(GETPIVOTDATA("Sum of Group Manager",h5a!$A$3,"ReportingLevel","1:LA","lvl",$B14),0)</f>
        <v>0</v>
      </c>
      <c r="F14" s="661">
        <f>IFERROR(GETPIVOTDATA("Sum of Station Manager",h5a!$A$3,"ReportingLevel","1:LA","lvl",$B14),0)</f>
        <v>0</v>
      </c>
      <c r="G14" s="83">
        <f>IFERROR(GETPIVOTDATA("Sum of Watch Manager",h5a!$A$3,"ReportingLevel","1:LA","lvl",$B14),0)</f>
        <v>5</v>
      </c>
      <c r="H14" s="83">
        <f>IFERROR(GETPIVOTDATA("Sum of Crew Manager",h5a!$A$3,"ReportingLevel","1:LA","lvl",$B14),0)</f>
        <v>5</v>
      </c>
      <c r="I14" s="83">
        <f>IFERROR(GETPIVOTDATA("Sum of Firefighter",h5a!$A$3,"ReportingLevel","1:LA","lvl",$B14),0)</f>
        <v>18</v>
      </c>
      <c r="J14" s="109">
        <f t="shared" si="0"/>
        <v>28</v>
      </c>
    </row>
    <row r="15" spans="1:10" ht="15" customHeight="1" x14ac:dyDescent="0.25">
      <c r="A15" s="578" t="s">
        <v>308</v>
      </c>
      <c r="B15" s="59" t="s">
        <v>34</v>
      </c>
      <c r="C15" s="661">
        <f>IFERROR(GETPIVOTDATA("Sum of Brigade Manager",h5a!$A$3,"ReportingLevel","1:LA","lvl",$B15),0)</f>
        <v>0</v>
      </c>
      <c r="D15" s="661">
        <f>IFERROR(GETPIVOTDATA("Sum of Area Manager",h5a!$A$3,"ReportingLevel","1:LA","lvl",$B15),0)</f>
        <v>0</v>
      </c>
      <c r="E15" s="661">
        <f>IFERROR(GETPIVOTDATA("Sum of Group Manager",h5a!$A$3,"ReportingLevel","1:LA","lvl",$B15),0)</f>
        <v>0</v>
      </c>
      <c r="F15" s="661">
        <f>IFERROR(GETPIVOTDATA("Sum of Station Manager",h5a!$A$3,"ReportingLevel","1:LA","lvl",$B15),0)</f>
        <v>0</v>
      </c>
      <c r="G15" s="83">
        <f>IFERROR(GETPIVOTDATA("Sum of Watch Manager",h5a!$A$3,"ReportingLevel","1:LA","lvl",$B15),0)</f>
        <v>10</v>
      </c>
      <c r="H15" s="83">
        <f>IFERROR(GETPIVOTDATA("Sum of Crew Manager",h5a!$A$3,"ReportingLevel","1:LA","lvl",$B15),0)</f>
        <v>11</v>
      </c>
      <c r="I15" s="83">
        <f>IFERROR(GETPIVOTDATA("Sum of Firefighter",h5a!$A$3,"ReportingLevel","1:LA","lvl",$B15),0)</f>
        <v>33</v>
      </c>
      <c r="J15" s="109">
        <f t="shared" si="0"/>
        <v>54</v>
      </c>
    </row>
    <row r="16" spans="1:10" ht="15" customHeight="1" x14ac:dyDescent="0.25">
      <c r="A16" s="578" t="s">
        <v>309</v>
      </c>
      <c r="B16" s="59" t="s">
        <v>262</v>
      </c>
      <c r="C16" s="661">
        <f>IFERROR(GETPIVOTDATA("Sum of Brigade Manager",h5a!$A$3,"ReportingLevel","1:LA","lvl",$B16),0)</f>
        <v>0</v>
      </c>
      <c r="D16" s="661">
        <f>IFERROR(GETPIVOTDATA("Sum of Area Manager",h5a!$A$3,"ReportingLevel","1:LA","lvl",$B16),0)</f>
        <v>0</v>
      </c>
      <c r="E16" s="661">
        <f>IFERROR(GETPIVOTDATA("Sum of Group Manager",h5a!$A$3,"ReportingLevel","1:LA","lvl",$B16),0)</f>
        <v>0</v>
      </c>
      <c r="F16" s="661">
        <f>IFERROR(GETPIVOTDATA("Sum of Station Manager",h5a!$A$3,"ReportingLevel","1:LA","lvl",$B16),0)</f>
        <v>0</v>
      </c>
      <c r="G16" s="83">
        <f>IFERROR(GETPIVOTDATA("Sum of Watch Manager",h5a!$A$3,"ReportingLevel","1:LA","lvl",$B16),0)</f>
        <v>35</v>
      </c>
      <c r="H16" s="83">
        <f>IFERROR(GETPIVOTDATA("Sum of Crew Manager",h5a!$A$3,"ReportingLevel","1:LA","lvl",$B16),0)</f>
        <v>59</v>
      </c>
      <c r="I16" s="83">
        <f>IFERROR(GETPIVOTDATA("Sum of Firefighter",h5a!$A$3,"ReportingLevel","1:LA","lvl",$B16),0)</f>
        <v>203</v>
      </c>
      <c r="J16" s="109">
        <f t="shared" si="0"/>
        <v>297</v>
      </c>
    </row>
    <row r="17" spans="1:10" ht="15" customHeight="1" x14ac:dyDescent="0.25">
      <c r="A17" s="578" t="s">
        <v>287</v>
      </c>
      <c r="B17" s="59" t="s">
        <v>35</v>
      </c>
      <c r="C17" s="661">
        <f>IFERROR(GETPIVOTDATA("Sum of Brigade Manager",h5a!$A$3,"ReportingLevel","1:LA","lvl",$B17),0)</f>
        <v>0</v>
      </c>
      <c r="D17" s="661">
        <f>IFERROR(GETPIVOTDATA("Sum of Area Manager",h5a!$A$3,"ReportingLevel","1:LA","lvl",$B17),0)</f>
        <v>0</v>
      </c>
      <c r="E17" s="661">
        <f>IFERROR(GETPIVOTDATA("Sum of Group Manager",h5a!$A$3,"ReportingLevel","1:LA","lvl",$B17),0)</f>
        <v>0</v>
      </c>
      <c r="F17" s="661">
        <f>IFERROR(GETPIVOTDATA("Sum of Station Manager",h5a!$A$3,"ReportingLevel","1:LA","lvl",$B17),0)</f>
        <v>0</v>
      </c>
      <c r="G17" s="83">
        <f>IFERROR(GETPIVOTDATA("Sum of Watch Manager",h5a!$A$3,"ReportingLevel","1:LA","lvl",$B17),0)</f>
        <v>5</v>
      </c>
      <c r="H17" s="83">
        <f>IFERROR(GETPIVOTDATA("Sum of Crew Manager",h5a!$A$3,"ReportingLevel","1:LA","lvl",$B17),0)</f>
        <v>5</v>
      </c>
      <c r="I17" s="83">
        <f>IFERROR(GETPIVOTDATA("Sum of Firefighter",h5a!$A$3,"ReportingLevel","1:LA","lvl",$B17),0)</f>
        <v>15</v>
      </c>
      <c r="J17" s="109">
        <f t="shared" si="0"/>
        <v>25</v>
      </c>
    </row>
    <row r="18" spans="1:10" ht="15" customHeight="1" x14ac:dyDescent="0.25">
      <c r="A18" s="578" t="s">
        <v>288</v>
      </c>
      <c r="B18" s="59" t="s">
        <v>36</v>
      </c>
      <c r="C18" s="661">
        <f>IFERROR(GETPIVOTDATA("Sum of Brigade Manager",h5a!$A$3,"ReportingLevel","1:LA","lvl",$B18),0)</f>
        <v>0</v>
      </c>
      <c r="D18" s="661">
        <f>IFERROR(GETPIVOTDATA("Sum of Area Manager",h5a!$A$3,"ReportingLevel","1:LA","lvl",$B18),0)</f>
        <v>0</v>
      </c>
      <c r="E18" s="661">
        <f>IFERROR(GETPIVOTDATA("Sum of Group Manager",h5a!$A$3,"ReportingLevel","1:LA","lvl",$B18),0)</f>
        <v>0</v>
      </c>
      <c r="F18" s="661">
        <f>IFERROR(GETPIVOTDATA("Sum of Station Manager",h5a!$A$3,"ReportingLevel","1:LA","lvl",$B18),0)</f>
        <v>0</v>
      </c>
      <c r="G18" s="83">
        <f>IFERROR(GETPIVOTDATA("Sum of Watch Manager",h5a!$A$3,"ReportingLevel","1:LA","lvl",$B18),0)</f>
        <v>5</v>
      </c>
      <c r="H18" s="83">
        <f>IFERROR(GETPIVOTDATA("Sum of Crew Manager",h5a!$A$3,"ReportingLevel","1:LA","lvl",$B18),0)</f>
        <v>10</v>
      </c>
      <c r="I18" s="83">
        <f>IFERROR(GETPIVOTDATA("Sum of Firefighter",h5a!$A$3,"ReportingLevel","1:LA","lvl",$B18),0)</f>
        <v>38</v>
      </c>
      <c r="J18" s="109">
        <f t="shared" si="0"/>
        <v>53</v>
      </c>
    </row>
    <row r="19" spans="1:10" ht="15" customHeight="1" x14ac:dyDescent="0.25">
      <c r="A19" s="578" t="s">
        <v>314</v>
      </c>
      <c r="B19" s="59" t="s">
        <v>37</v>
      </c>
      <c r="C19" s="661">
        <f>IFERROR(GETPIVOTDATA("Sum of Brigade Manager",h5a!$A$3,"ReportingLevel","1:LA","lvl",$B19),0)</f>
        <v>0</v>
      </c>
      <c r="D19" s="661">
        <f>IFERROR(GETPIVOTDATA("Sum of Area Manager",h5a!$A$3,"ReportingLevel","1:LA","lvl",$B19),0)</f>
        <v>0</v>
      </c>
      <c r="E19" s="661">
        <f>IFERROR(GETPIVOTDATA("Sum of Group Manager",h5a!$A$3,"ReportingLevel","1:LA","lvl",$B19),0)</f>
        <v>0</v>
      </c>
      <c r="F19" s="661">
        <f>IFERROR(GETPIVOTDATA("Sum of Station Manager",h5a!$A$3,"ReportingLevel","1:LA","lvl",$B19),0)</f>
        <v>0</v>
      </c>
      <c r="G19" s="83">
        <f>IFERROR(GETPIVOTDATA("Sum of Watch Manager",h5a!$A$3,"ReportingLevel","1:LA","lvl",$B19),0)</f>
        <v>20</v>
      </c>
      <c r="H19" s="83">
        <f>IFERROR(GETPIVOTDATA("Sum of Crew Manager",h5a!$A$3,"ReportingLevel","1:LA","lvl",$B19),0)</f>
        <v>35</v>
      </c>
      <c r="I19" s="83">
        <f>IFERROR(GETPIVOTDATA("Sum of Firefighter",h5a!$A$3,"ReportingLevel","1:LA","lvl",$B19),0)</f>
        <v>122</v>
      </c>
      <c r="J19" s="109">
        <f t="shared" si="0"/>
        <v>177</v>
      </c>
    </row>
    <row r="20" spans="1:10" ht="15" customHeight="1" x14ac:dyDescent="0.25">
      <c r="A20" s="578" t="s">
        <v>289</v>
      </c>
      <c r="B20" s="59" t="s">
        <v>38</v>
      </c>
      <c r="C20" s="661">
        <f>IFERROR(GETPIVOTDATA("Sum of Brigade Manager",h5a!$A$3,"ReportingLevel","1:LA","lvl",$B20),0)</f>
        <v>0</v>
      </c>
      <c r="D20" s="661">
        <f>IFERROR(GETPIVOTDATA("Sum of Area Manager",h5a!$A$3,"ReportingLevel","1:LA","lvl",$B20),0)</f>
        <v>0</v>
      </c>
      <c r="E20" s="661">
        <f>IFERROR(GETPIVOTDATA("Sum of Group Manager",h5a!$A$3,"ReportingLevel","1:LA","lvl",$B20),0)</f>
        <v>0</v>
      </c>
      <c r="F20" s="661">
        <f>IFERROR(GETPIVOTDATA("Sum of Station Manager",h5a!$A$3,"ReportingLevel","1:LA","lvl",$B20),0)</f>
        <v>0</v>
      </c>
      <c r="G20" s="83">
        <f>IFERROR(GETPIVOTDATA("Sum of Watch Manager",h5a!$A$3,"ReportingLevel","1:LA","lvl",$B20),0)</f>
        <v>5</v>
      </c>
      <c r="H20" s="83">
        <f>IFERROR(GETPIVOTDATA("Sum of Crew Manager",h5a!$A$3,"ReportingLevel","1:LA","lvl",$B20),0)</f>
        <v>10</v>
      </c>
      <c r="I20" s="83">
        <f>IFERROR(GETPIVOTDATA("Sum of Firefighter",h5a!$A$3,"ReportingLevel","1:LA","lvl",$B20),0)</f>
        <v>32</v>
      </c>
      <c r="J20" s="109">
        <f t="shared" si="0"/>
        <v>47</v>
      </c>
    </row>
    <row r="21" spans="1:10" ht="15" customHeight="1" x14ac:dyDescent="0.25">
      <c r="A21" s="578" t="s">
        <v>316</v>
      </c>
      <c r="B21" s="59" t="s">
        <v>39</v>
      </c>
      <c r="C21" s="661">
        <f>IFERROR(GETPIVOTDATA("Sum of Brigade Manager",h5a!$A$3,"ReportingLevel","1:LA","lvl",$B21),0)</f>
        <v>0</v>
      </c>
      <c r="D21" s="661">
        <f>IFERROR(GETPIVOTDATA("Sum of Area Manager",h5a!$A$3,"ReportingLevel","1:LA","lvl",$B21),0)</f>
        <v>0</v>
      </c>
      <c r="E21" s="661">
        <f>IFERROR(GETPIVOTDATA("Sum of Group Manager",h5a!$A$3,"ReportingLevel","1:LA","lvl",$B21),0)</f>
        <v>0</v>
      </c>
      <c r="F21" s="661">
        <f>IFERROR(GETPIVOTDATA("Sum of Station Manager",h5a!$A$3,"ReportingLevel","1:LA","lvl",$B21),0)</f>
        <v>0</v>
      </c>
      <c r="G21" s="83">
        <f>IFERROR(GETPIVOTDATA("Sum of Watch Manager",h5a!$A$3,"ReportingLevel","1:LA","lvl",$B21),0)</f>
        <v>16</v>
      </c>
      <c r="H21" s="83">
        <f>IFERROR(GETPIVOTDATA("Sum of Crew Manager",h5a!$A$3,"ReportingLevel","1:LA","lvl",$B21),0)</f>
        <v>15</v>
      </c>
      <c r="I21" s="83">
        <f>IFERROR(GETPIVOTDATA("Sum of Firefighter",h5a!$A$3,"ReportingLevel","1:LA","lvl",$B21),0)</f>
        <v>47</v>
      </c>
      <c r="J21" s="109">
        <f t="shared" si="0"/>
        <v>78</v>
      </c>
    </row>
    <row r="22" spans="1:10" ht="15" customHeight="1" x14ac:dyDescent="0.25">
      <c r="A22" s="578" t="s">
        <v>290</v>
      </c>
      <c r="B22" s="59" t="s">
        <v>40</v>
      </c>
      <c r="C22" s="661">
        <f>IFERROR(GETPIVOTDATA("Sum of Brigade Manager",h5a!$A$3,"ReportingLevel","1:LA","lvl",$B22),0)</f>
        <v>0</v>
      </c>
      <c r="D22" s="661">
        <f>IFERROR(GETPIVOTDATA("Sum of Area Manager",h5a!$A$3,"ReportingLevel","1:LA","lvl",$B22),0)</f>
        <v>0</v>
      </c>
      <c r="E22" s="661">
        <f>IFERROR(GETPIVOTDATA("Sum of Group Manager",h5a!$A$3,"ReportingLevel","1:LA","lvl",$B22),0)</f>
        <v>0</v>
      </c>
      <c r="F22" s="661">
        <f>IFERROR(GETPIVOTDATA("Sum of Station Manager",h5a!$A$3,"ReportingLevel","1:LA","lvl",$B22),0)</f>
        <v>0</v>
      </c>
      <c r="G22" s="83">
        <f>IFERROR(GETPIVOTDATA("Sum of Watch Manager",h5a!$A$3,"ReportingLevel","1:LA","lvl",$B22),0)</f>
        <v>5</v>
      </c>
      <c r="H22" s="83">
        <f>IFERROR(GETPIVOTDATA("Sum of Crew Manager",h5a!$A$3,"ReportingLevel","1:LA","lvl",$B22),0)</f>
        <v>5</v>
      </c>
      <c r="I22" s="83">
        <f>IFERROR(GETPIVOTDATA("Sum of Firefighter",h5a!$A$3,"ReportingLevel","1:LA","lvl",$B22),0)</f>
        <v>14</v>
      </c>
      <c r="J22" s="109">
        <f t="shared" si="0"/>
        <v>24</v>
      </c>
    </row>
    <row r="23" spans="1:10" ht="15" customHeight="1" x14ac:dyDescent="0.25">
      <c r="A23" s="578" t="s">
        <v>291</v>
      </c>
      <c r="B23" s="59" t="s">
        <v>41</v>
      </c>
      <c r="C23" s="661">
        <f>IFERROR(GETPIVOTDATA("Sum of Brigade Manager",h5a!$A$3,"ReportingLevel","1:LA","lvl",$B23),0)</f>
        <v>0</v>
      </c>
      <c r="D23" s="661">
        <f>IFERROR(GETPIVOTDATA("Sum of Area Manager",h5a!$A$3,"ReportingLevel","1:LA","lvl",$B23),0)</f>
        <v>0</v>
      </c>
      <c r="E23" s="661">
        <f>IFERROR(GETPIVOTDATA("Sum of Group Manager",h5a!$A$3,"ReportingLevel","1:LA","lvl",$B23),0)</f>
        <v>0</v>
      </c>
      <c r="F23" s="661">
        <f>IFERROR(GETPIVOTDATA("Sum of Station Manager",h5a!$A$3,"ReportingLevel","1:LA","lvl",$B23),0)</f>
        <v>0</v>
      </c>
      <c r="G23" s="83">
        <f>IFERROR(GETPIVOTDATA("Sum of Watch Manager",h5a!$A$3,"ReportingLevel","1:LA","lvl",$B23),0)</f>
        <v>11</v>
      </c>
      <c r="H23" s="83">
        <f>IFERROR(GETPIVOTDATA("Sum of Crew Manager",h5a!$A$3,"ReportingLevel","1:LA","lvl",$B23),0)</f>
        <v>10</v>
      </c>
      <c r="I23" s="83">
        <f>IFERROR(GETPIVOTDATA("Sum of Firefighter",h5a!$A$3,"ReportingLevel","1:LA","lvl",$B23),0)</f>
        <v>31</v>
      </c>
      <c r="J23" s="109">
        <f t="shared" si="0"/>
        <v>52</v>
      </c>
    </row>
    <row r="24" spans="1:10" ht="15" customHeight="1" x14ac:dyDescent="0.25">
      <c r="A24" s="578" t="s">
        <v>293</v>
      </c>
      <c r="B24" s="59" t="s">
        <v>42</v>
      </c>
      <c r="C24" s="661">
        <f>IFERROR(GETPIVOTDATA("Sum of Brigade Manager",h5a!$A$3,"ReportingLevel","1:LA","lvl",$B24),0)</f>
        <v>0</v>
      </c>
      <c r="D24" s="661">
        <f>IFERROR(GETPIVOTDATA("Sum of Area Manager",h5a!$A$3,"ReportingLevel","1:LA","lvl",$B24),0)</f>
        <v>0</v>
      </c>
      <c r="E24" s="661">
        <f>IFERROR(GETPIVOTDATA("Sum of Group Manager",h5a!$A$3,"ReportingLevel","1:LA","lvl",$B24),0)</f>
        <v>0</v>
      </c>
      <c r="F24" s="661">
        <f>IFERROR(GETPIVOTDATA("Sum of Station Manager",h5a!$A$3,"ReportingLevel","1:LA","lvl",$B24),0)</f>
        <v>0</v>
      </c>
      <c r="G24" s="83">
        <f>IFERROR(GETPIVOTDATA("Sum of Watch Manager",h5a!$A$3,"ReportingLevel","1:LA","lvl",$B24),0)</f>
        <v>15</v>
      </c>
      <c r="H24" s="83">
        <f>IFERROR(GETPIVOTDATA("Sum of Crew Manager",h5a!$A$3,"ReportingLevel","1:LA","lvl",$B24),0)</f>
        <v>20</v>
      </c>
      <c r="I24" s="83">
        <f>IFERROR(GETPIVOTDATA("Sum of Firefighter",h5a!$A$3,"ReportingLevel","1:LA","lvl",$B24),0)</f>
        <v>53</v>
      </c>
      <c r="J24" s="109">
        <f t="shared" si="0"/>
        <v>88</v>
      </c>
    </row>
    <row r="25" spans="1:10" ht="15" customHeight="1" x14ac:dyDescent="0.25">
      <c r="A25" s="578" t="s">
        <v>318</v>
      </c>
      <c r="B25" s="59" t="s">
        <v>43</v>
      </c>
      <c r="C25" s="661">
        <f>IFERROR(GETPIVOTDATA("Sum of Brigade Manager",h5a!$A$3,"ReportingLevel","1:LA","lvl",$B25),0)</f>
        <v>0</v>
      </c>
      <c r="D25" s="661">
        <f>IFERROR(GETPIVOTDATA("Sum of Area Manager",h5a!$A$3,"ReportingLevel","1:LA","lvl",$B25),0)</f>
        <v>0</v>
      </c>
      <c r="E25" s="661">
        <f>IFERROR(GETPIVOTDATA("Sum of Group Manager",h5a!$A$3,"ReportingLevel","1:LA","lvl",$B25),0)</f>
        <v>0</v>
      </c>
      <c r="F25" s="661">
        <f>IFERROR(GETPIVOTDATA("Sum of Station Manager",h5a!$A$3,"ReportingLevel","1:LA","lvl",$B25),0)</f>
        <v>0</v>
      </c>
      <c r="G25" s="83">
        <f>IFERROR(GETPIVOTDATA("Sum of Watch Manager",h5a!$A$3,"ReportingLevel","1:LA","lvl",$B25),0)</f>
        <v>27</v>
      </c>
      <c r="H25" s="83">
        <f>IFERROR(GETPIVOTDATA("Sum of Crew Manager",h5a!$A$3,"ReportingLevel","1:LA","lvl",$B25),0)</f>
        <v>48</v>
      </c>
      <c r="I25" s="83">
        <f>IFERROR(GETPIVOTDATA("Sum of Firefighter",h5a!$A$3,"ReportingLevel","1:LA","lvl",$B25),0)</f>
        <v>199</v>
      </c>
      <c r="J25" s="109">
        <f t="shared" si="0"/>
        <v>274</v>
      </c>
    </row>
    <row r="26" spans="1:10" ht="15" customHeight="1" x14ac:dyDescent="0.25">
      <c r="A26" s="578" t="s">
        <v>317</v>
      </c>
      <c r="B26" s="59" t="s">
        <v>124</v>
      </c>
      <c r="C26" s="661">
        <f>IFERROR(GETPIVOTDATA("Sum of Brigade Manager",h5a!$A$3,"ReportingLevel","1:LA","lvl",$B26),0)</f>
        <v>0</v>
      </c>
      <c r="D26" s="661">
        <f>IFERROR(GETPIVOTDATA("Sum of Area Manager",h5a!$A$3,"ReportingLevel","1:LA","lvl",$B26),0)</f>
        <v>0</v>
      </c>
      <c r="E26" s="661">
        <f>IFERROR(GETPIVOTDATA("Sum of Group Manager",h5a!$A$3,"ReportingLevel","1:LA","lvl",$B26),0)</f>
        <v>0</v>
      </c>
      <c r="F26" s="661">
        <f>IFERROR(GETPIVOTDATA("Sum of Station Manager",h5a!$A$3,"ReportingLevel","1:LA","lvl",$B26),0)</f>
        <v>0</v>
      </c>
      <c r="G26" s="83">
        <f>IFERROR(GETPIVOTDATA("Sum of Watch Manager",h5a!$A$3,"ReportingLevel","1:LA","lvl",$B26),0)</f>
        <v>56</v>
      </c>
      <c r="H26" s="83">
        <f>IFERROR(GETPIVOTDATA("Sum of Crew Manager",h5a!$A$3,"ReportingLevel","1:LA","lvl",$B26),0)</f>
        <v>110</v>
      </c>
      <c r="I26" s="83">
        <f>IFERROR(GETPIVOTDATA("Sum of Firefighter",h5a!$A$3,"ReportingLevel","1:LA","lvl",$B26),0)</f>
        <v>349</v>
      </c>
      <c r="J26" s="109">
        <f t="shared" si="0"/>
        <v>515</v>
      </c>
    </row>
    <row r="27" spans="1:10" ht="15" customHeight="1" x14ac:dyDescent="0.25">
      <c r="A27" s="578" t="s">
        <v>294</v>
      </c>
      <c r="B27" s="59" t="s">
        <v>44</v>
      </c>
      <c r="C27" s="661">
        <f>IFERROR(GETPIVOTDATA("Sum of Brigade Manager",h5a!$A$3,"ReportingLevel","1:LA","lvl",$B27),0)</f>
        <v>0</v>
      </c>
      <c r="D27" s="661">
        <f>IFERROR(GETPIVOTDATA("Sum of Area Manager",h5a!$A$3,"ReportingLevel","1:LA","lvl",$B27),0)</f>
        <v>0</v>
      </c>
      <c r="E27" s="661">
        <f>IFERROR(GETPIVOTDATA("Sum of Group Manager",h5a!$A$3,"ReportingLevel","1:LA","lvl",$B27),0)</f>
        <v>0</v>
      </c>
      <c r="F27" s="661">
        <f>IFERROR(GETPIVOTDATA("Sum of Station Manager",h5a!$A$3,"ReportingLevel","1:LA","lvl",$B27),0)</f>
        <v>0</v>
      </c>
      <c r="G27" s="83">
        <f>IFERROR(GETPIVOTDATA("Sum of Watch Manager",h5a!$A$3,"ReportingLevel","1:LA","lvl",$B27),0)</f>
        <v>5</v>
      </c>
      <c r="H27" s="83">
        <f>IFERROR(GETPIVOTDATA("Sum of Crew Manager",h5a!$A$3,"ReportingLevel","1:LA","lvl",$B27),0)</f>
        <v>15</v>
      </c>
      <c r="I27" s="83">
        <f>IFERROR(GETPIVOTDATA("Sum of Firefighter",h5a!$A$3,"ReportingLevel","1:LA","lvl",$B27),0)</f>
        <v>50</v>
      </c>
      <c r="J27" s="109">
        <f t="shared" si="0"/>
        <v>70</v>
      </c>
    </row>
    <row r="28" spans="1:10" ht="15" customHeight="1" x14ac:dyDescent="0.25">
      <c r="A28" s="578" t="s">
        <v>295</v>
      </c>
      <c r="B28" s="59" t="s">
        <v>45</v>
      </c>
      <c r="C28" s="661">
        <f>IFERROR(GETPIVOTDATA("Sum of Brigade Manager",h5a!$A$3,"ReportingLevel","1:LA","lvl",$B28),0)</f>
        <v>0</v>
      </c>
      <c r="D28" s="661">
        <f>IFERROR(GETPIVOTDATA("Sum of Area Manager",h5a!$A$3,"ReportingLevel","1:LA","lvl",$B28),0)</f>
        <v>0</v>
      </c>
      <c r="E28" s="661">
        <f>IFERROR(GETPIVOTDATA("Sum of Group Manager",h5a!$A$3,"ReportingLevel","1:LA","lvl",$B28),0)</f>
        <v>0</v>
      </c>
      <c r="F28" s="661">
        <f>IFERROR(GETPIVOTDATA("Sum of Station Manager",h5a!$A$3,"ReportingLevel","1:LA","lvl",$B28),0)</f>
        <v>0</v>
      </c>
      <c r="G28" s="83">
        <f>IFERROR(GETPIVOTDATA("Sum of Watch Manager",h5a!$A$3,"ReportingLevel","1:LA","lvl",$B28),0)</f>
        <v>10</v>
      </c>
      <c r="H28" s="83">
        <f>IFERROR(GETPIVOTDATA("Sum of Crew Manager",h5a!$A$3,"ReportingLevel","1:LA","lvl",$B28),0)</f>
        <v>15</v>
      </c>
      <c r="I28" s="83">
        <f>IFERROR(GETPIVOTDATA("Sum of Firefighter",h5a!$A$3,"ReportingLevel","1:LA","lvl",$B28),0)</f>
        <v>47</v>
      </c>
      <c r="J28" s="109">
        <f t="shared" si="0"/>
        <v>72</v>
      </c>
    </row>
    <row r="29" spans="1:10" ht="15" customHeight="1" x14ac:dyDescent="0.25">
      <c r="A29" s="578" t="s">
        <v>296</v>
      </c>
      <c r="B29" s="59" t="s">
        <v>46</v>
      </c>
      <c r="C29" s="661">
        <f>IFERROR(GETPIVOTDATA("Sum of Brigade Manager",h5a!$A$3,"ReportingLevel","1:LA","lvl",$B29),0)</f>
        <v>0</v>
      </c>
      <c r="D29" s="661">
        <f>IFERROR(GETPIVOTDATA("Sum of Area Manager",h5a!$A$3,"ReportingLevel","1:LA","lvl",$B29),0)</f>
        <v>0</v>
      </c>
      <c r="E29" s="661">
        <f>IFERROR(GETPIVOTDATA("Sum of Group Manager",h5a!$A$3,"ReportingLevel","1:LA","lvl",$B29),0)</f>
        <v>0</v>
      </c>
      <c r="F29" s="661">
        <f>IFERROR(GETPIVOTDATA("Sum of Station Manager",h5a!$A$3,"ReportingLevel","1:LA","lvl",$B29),0)</f>
        <v>0</v>
      </c>
      <c r="G29" s="83">
        <f>IFERROR(GETPIVOTDATA("Sum of Watch Manager",h5a!$A$3,"ReportingLevel","1:LA","lvl",$B29),0)</f>
        <v>5</v>
      </c>
      <c r="H29" s="83">
        <f>IFERROR(GETPIVOTDATA("Sum of Crew Manager",h5a!$A$3,"ReportingLevel","1:LA","lvl",$B29),0)</f>
        <v>4</v>
      </c>
      <c r="I29" s="83">
        <f>IFERROR(GETPIVOTDATA("Sum of Firefighter",h5a!$A$3,"ReportingLevel","1:LA","lvl",$B29),0)</f>
        <v>17</v>
      </c>
      <c r="J29" s="109">
        <f t="shared" si="0"/>
        <v>26</v>
      </c>
    </row>
    <row r="30" spans="1:10" ht="15" customHeight="1" x14ac:dyDescent="0.25">
      <c r="A30" s="578" t="s">
        <v>297</v>
      </c>
      <c r="B30" s="59" t="s">
        <v>47</v>
      </c>
      <c r="C30" s="661">
        <f>IFERROR(GETPIVOTDATA("Sum of Brigade Manager",h5a!$A$3,"ReportingLevel","1:LA","lvl",$B30),0)</f>
        <v>0</v>
      </c>
      <c r="D30" s="661">
        <f>IFERROR(GETPIVOTDATA("Sum of Area Manager",h5a!$A$3,"ReportingLevel","1:LA","lvl",$B30),0)</f>
        <v>0</v>
      </c>
      <c r="E30" s="661">
        <f>IFERROR(GETPIVOTDATA("Sum of Group Manager",h5a!$A$3,"ReportingLevel","1:LA","lvl",$B30),0)</f>
        <v>0</v>
      </c>
      <c r="F30" s="661">
        <f>IFERROR(GETPIVOTDATA("Sum of Station Manager",h5a!$A$3,"ReportingLevel","1:LA","lvl",$B30),0)</f>
        <v>0</v>
      </c>
      <c r="G30" s="83">
        <f>IFERROR(GETPIVOTDATA("Sum of Watch Manager",h5a!$A$3,"ReportingLevel","1:LA","lvl",$B30),0)</f>
        <v>5</v>
      </c>
      <c r="H30" s="83">
        <f>IFERROR(GETPIVOTDATA("Sum of Crew Manager",h5a!$A$3,"ReportingLevel","1:LA","lvl",$B30),0)</f>
        <v>5</v>
      </c>
      <c r="I30" s="83">
        <f>IFERROR(GETPIVOTDATA("Sum of Firefighter",h5a!$A$3,"ReportingLevel","1:LA","lvl",$B30),0)</f>
        <v>20</v>
      </c>
      <c r="J30" s="109">
        <f t="shared" si="0"/>
        <v>30</v>
      </c>
    </row>
    <row r="31" spans="1:10" ht="15" customHeight="1" x14ac:dyDescent="0.25">
      <c r="A31" s="578" t="s">
        <v>292</v>
      </c>
      <c r="B31" s="59" t="s">
        <v>48</v>
      </c>
      <c r="C31" s="661">
        <f>IFERROR(GETPIVOTDATA("Sum of Brigade Manager",h5a!$A$3,"ReportingLevel","1:LA","lvl",$B31),0)</f>
        <v>0</v>
      </c>
      <c r="D31" s="661">
        <f>IFERROR(GETPIVOTDATA("Sum of Area Manager",h5a!$A$3,"ReportingLevel","1:LA","lvl",$B31),0)</f>
        <v>0</v>
      </c>
      <c r="E31" s="661">
        <f>IFERROR(GETPIVOTDATA("Sum of Group Manager",h5a!$A$3,"ReportingLevel","1:LA","lvl",$B31),0)</f>
        <v>0</v>
      </c>
      <c r="F31" s="661">
        <f>IFERROR(GETPIVOTDATA("Sum of Station Manager",h5a!$A$3,"ReportingLevel","1:LA","lvl",$B31),0)</f>
        <v>0</v>
      </c>
      <c r="G31" s="83">
        <f>IFERROR(GETPIVOTDATA("Sum of Watch Manager",h5a!$A$3,"ReportingLevel","1:LA","lvl",$B31),0)</f>
        <v>0</v>
      </c>
      <c r="H31" s="83">
        <f>IFERROR(GETPIVOTDATA("Sum of Crew Manager",h5a!$A$3,"ReportingLevel","1:LA","lvl",$B31),0)</f>
        <v>0</v>
      </c>
      <c r="I31" s="83">
        <f>IFERROR(GETPIVOTDATA("Sum of Firefighter",h5a!$A$3,"ReportingLevel","1:LA","lvl",$B31),0)</f>
        <v>0</v>
      </c>
      <c r="J31" s="109">
        <f t="shared" si="0"/>
        <v>0</v>
      </c>
    </row>
    <row r="32" spans="1:10" ht="15" customHeight="1" x14ac:dyDescent="0.25">
      <c r="A32" s="578" t="s">
        <v>298</v>
      </c>
      <c r="B32" s="59" t="s">
        <v>49</v>
      </c>
      <c r="C32" s="661">
        <f>IFERROR(GETPIVOTDATA("Sum of Brigade Manager",h5a!$A$3,"ReportingLevel","1:LA","lvl",$B32),0)</f>
        <v>0</v>
      </c>
      <c r="D32" s="661">
        <f>IFERROR(GETPIVOTDATA("Sum of Area Manager",h5a!$A$3,"ReportingLevel","1:LA","lvl",$B32),0)</f>
        <v>0</v>
      </c>
      <c r="E32" s="661">
        <f>IFERROR(GETPIVOTDATA("Sum of Group Manager",h5a!$A$3,"ReportingLevel","1:LA","lvl",$B32),0)</f>
        <v>0</v>
      </c>
      <c r="F32" s="661">
        <f>IFERROR(GETPIVOTDATA("Sum of Station Manager",h5a!$A$3,"ReportingLevel","1:LA","lvl",$B32),0)</f>
        <v>0</v>
      </c>
      <c r="G32" s="83">
        <f>IFERROR(GETPIVOTDATA("Sum of Watch Manager",h5a!$A$3,"ReportingLevel","1:LA","lvl",$B32),0)</f>
        <v>16</v>
      </c>
      <c r="H32" s="83">
        <f>IFERROR(GETPIVOTDATA("Sum of Crew Manager",h5a!$A$3,"ReportingLevel","1:LA","lvl",$B32),0)</f>
        <v>15</v>
      </c>
      <c r="I32" s="83">
        <f>IFERROR(GETPIVOTDATA("Sum of Firefighter",h5a!$A$3,"ReportingLevel","1:LA","lvl",$B32),0)</f>
        <v>45</v>
      </c>
      <c r="J32" s="109">
        <f t="shared" si="0"/>
        <v>76</v>
      </c>
    </row>
    <row r="33" spans="1:11" ht="15" customHeight="1" x14ac:dyDescent="0.25">
      <c r="A33" s="578" t="s">
        <v>315</v>
      </c>
      <c r="B33" s="59" t="s">
        <v>50</v>
      </c>
      <c r="C33" s="661">
        <f>IFERROR(GETPIVOTDATA("Sum of Brigade Manager",h5a!$A$3,"ReportingLevel","1:LA","lvl",$B33),0)</f>
        <v>0</v>
      </c>
      <c r="D33" s="661">
        <f>IFERROR(GETPIVOTDATA("Sum of Area Manager",h5a!$A$3,"ReportingLevel","1:LA","lvl",$B33),0)</f>
        <v>0</v>
      </c>
      <c r="E33" s="661">
        <f>IFERROR(GETPIVOTDATA("Sum of Group Manager",h5a!$A$3,"ReportingLevel","1:LA","lvl",$B33),0)</f>
        <v>0</v>
      </c>
      <c r="F33" s="661">
        <f>IFERROR(GETPIVOTDATA("Sum of Station Manager",h5a!$A$3,"ReportingLevel","1:LA","lvl",$B33),0)</f>
        <v>0</v>
      </c>
      <c r="G33" s="83">
        <f>IFERROR(GETPIVOTDATA("Sum of Watch Manager",h5a!$A$3,"ReportingLevel","1:LA","lvl",$B33),0)</f>
        <v>20</v>
      </c>
      <c r="H33" s="83">
        <f>IFERROR(GETPIVOTDATA("Sum of Crew Manager",h5a!$A$3,"ReportingLevel","1:LA","lvl",$B33),0)</f>
        <v>35</v>
      </c>
      <c r="I33" s="83">
        <f>IFERROR(GETPIVOTDATA("Sum of Firefighter",h5a!$A$3,"ReportingLevel","1:LA","lvl",$B33),0)</f>
        <v>111</v>
      </c>
      <c r="J33" s="109">
        <f t="shared" si="0"/>
        <v>166</v>
      </c>
    </row>
    <row r="34" spans="1:11" ht="15" customHeight="1" x14ac:dyDescent="0.25">
      <c r="A34" s="578" t="s">
        <v>299</v>
      </c>
      <c r="B34" s="59" t="s">
        <v>51</v>
      </c>
      <c r="C34" s="661">
        <f>IFERROR(GETPIVOTDATA("Sum of Brigade Manager",h5a!$A$3,"ReportingLevel","1:LA","lvl",$B34),0)</f>
        <v>0</v>
      </c>
      <c r="D34" s="661">
        <f>IFERROR(GETPIVOTDATA("Sum of Area Manager",h5a!$A$3,"ReportingLevel","1:LA","lvl",$B34),0)</f>
        <v>0</v>
      </c>
      <c r="E34" s="661">
        <f>IFERROR(GETPIVOTDATA("Sum of Group Manager",h5a!$A$3,"ReportingLevel","1:LA","lvl",$B34),0)</f>
        <v>0</v>
      </c>
      <c r="F34" s="661">
        <f>IFERROR(GETPIVOTDATA("Sum of Station Manager",h5a!$A$3,"ReportingLevel","1:LA","lvl",$B34),0)</f>
        <v>0</v>
      </c>
      <c r="G34" s="83">
        <f>IFERROR(GETPIVOTDATA("Sum of Watch Manager",h5a!$A$3,"ReportingLevel","1:LA","lvl",$B34),0)</f>
        <v>0</v>
      </c>
      <c r="H34" s="83">
        <f>IFERROR(GETPIVOTDATA("Sum of Crew Manager",h5a!$A$3,"ReportingLevel","1:LA","lvl",$B34),0)</f>
        <v>0</v>
      </c>
      <c r="I34" s="83">
        <f>IFERROR(GETPIVOTDATA("Sum of Firefighter",h5a!$A$3,"ReportingLevel","1:LA","lvl",$B34),0)</f>
        <v>0</v>
      </c>
      <c r="J34" s="109">
        <f t="shared" si="0"/>
        <v>0</v>
      </c>
    </row>
    <row r="35" spans="1:11" ht="15" customHeight="1" x14ac:dyDescent="0.25">
      <c r="A35" s="578" t="s">
        <v>300</v>
      </c>
      <c r="B35" s="59" t="s">
        <v>52</v>
      </c>
      <c r="C35" s="661">
        <f>IFERROR(GETPIVOTDATA("Sum of Brigade Manager",h5a!$A$3,"ReportingLevel","1:LA","lvl",$B35),0)</f>
        <v>0</v>
      </c>
      <c r="D35" s="661">
        <f>IFERROR(GETPIVOTDATA("Sum of Area Manager",h5a!$A$3,"ReportingLevel","1:LA","lvl",$B35),0)</f>
        <v>0</v>
      </c>
      <c r="E35" s="661">
        <f>IFERROR(GETPIVOTDATA("Sum of Group Manager",h5a!$A$3,"ReportingLevel","1:LA","lvl",$B35),0)</f>
        <v>0</v>
      </c>
      <c r="F35" s="661">
        <f>IFERROR(GETPIVOTDATA("Sum of Station Manager",h5a!$A$3,"ReportingLevel","1:LA","lvl",$B35),0)</f>
        <v>0</v>
      </c>
      <c r="G35" s="83">
        <f>IFERROR(GETPIVOTDATA("Sum of Watch Manager",h5a!$A$3,"ReportingLevel","1:LA","lvl",$B35),0)</f>
        <v>5</v>
      </c>
      <c r="H35" s="83">
        <f>IFERROR(GETPIVOTDATA("Sum of Crew Manager",h5a!$A$3,"ReportingLevel","1:LA","lvl",$B35),0)</f>
        <v>10</v>
      </c>
      <c r="I35" s="83">
        <f>IFERROR(GETPIVOTDATA("Sum of Firefighter",h5a!$A$3,"ReportingLevel","1:LA","lvl",$B35),0)</f>
        <v>54</v>
      </c>
      <c r="J35" s="109">
        <f t="shared" si="0"/>
        <v>69</v>
      </c>
    </row>
    <row r="36" spans="1:11" ht="15" customHeight="1" x14ac:dyDescent="0.25">
      <c r="A36" s="578" t="s">
        <v>310</v>
      </c>
      <c r="B36" s="59" t="s">
        <v>53</v>
      </c>
      <c r="C36" s="661">
        <f>IFERROR(GETPIVOTDATA("Sum of Brigade Manager",h5a!$A$3,"ReportingLevel","1:LA","lvl",$B36),0)</f>
        <v>0</v>
      </c>
      <c r="D36" s="661">
        <f>IFERROR(GETPIVOTDATA("Sum of Area Manager",h5a!$A$3,"ReportingLevel","1:LA","lvl",$B36),0)</f>
        <v>0</v>
      </c>
      <c r="E36" s="661">
        <f>IFERROR(GETPIVOTDATA("Sum of Group Manager",h5a!$A$3,"ReportingLevel","1:LA","lvl",$B36),0)</f>
        <v>0</v>
      </c>
      <c r="F36" s="661">
        <f>IFERROR(GETPIVOTDATA("Sum of Station Manager",h5a!$A$3,"ReportingLevel","1:LA","lvl",$B36),0)</f>
        <v>0</v>
      </c>
      <c r="G36" s="83">
        <f>IFERROR(GETPIVOTDATA("Sum of Watch Manager",h5a!$A$3,"ReportingLevel","1:LA","lvl",$B36),0)</f>
        <v>16</v>
      </c>
      <c r="H36" s="83">
        <f>IFERROR(GETPIVOTDATA("Sum of Crew Manager",h5a!$A$3,"ReportingLevel","1:LA","lvl",$B36),0)</f>
        <v>18</v>
      </c>
      <c r="I36" s="83">
        <f>IFERROR(GETPIVOTDATA("Sum of Firefighter",h5a!$A$3,"ReportingLevel","1:LA","lvl",$B36),0)</f>
        <v>65</v>
      </c>
      <c r="J36" s="109">
        <f t="shared" si="0"/>
        <v>99</v>
      </c>
    </row>
    <row r="37" spans="1:11" ht="15" customHeight="1" x14ac:dyDescent="0.25">
      <c r="A37" s="578" t="s">
        <v>301</v>
      </c>
      <c r="B37" s="59" t="s">
        <v>54</v>
      </c>
      <c r="C37" s="661">
        <f>IFERROR(GETPIVOTDATA("Sum of Brigade Manager",h5a!$A$3,"ReportingLevel","1:LA","lvl",$B37),0)</f>
        <v>0</v>
      </c>
      <c r="D37" s="661">
        <f>IFERROR(GETPIVOTDATA("Sum of Area Manager",h5a!$A$3,"ReportingLevel","1:LA","lvl",$B37),0)</f>
        <v>0</v>
      </c>
      <c r="E37" s="661">
        <f>IFERROR(GETPIVOTDATA("Sum of Group Manager",h5a!$A$3,"ReportingLevel","1:LA","lvl",$B37),0)</f>
        <v>0</v>
      </c>
      <c r="F37" s="661">
        <f>IFERROR(GETPIVOTDATA("Sum of Station Manager",h5a!$A$3,"ReportingLevel","1:LA","lvl",$B37),0)</f>
        <v>0</v>
      </c>
      <c r="G37" s="83">
        <f>IFERROR(GETPIVOTDATA("Sum of Watch Manager",h5a!$A$3,"ReportingLevel","1:LA","lvl",$B37),0)</f>
        <v>10</v>
      </c>
      <c r="H37" s="83">
        <f>IFERROR(GETPIVOTDATA("Sum of Crew Manager",h5a!$A$3,"ReportingLevel","1:LA","lvl",$B37),0)</f>
        <v>10</v>
      </c>
      <c r="I37" s="83">
        <f>IFERROR(GETPIVOTDATA("Sum of Firefighter",h5a!$A$3,"ReportingLevel","1:LA","lvl",$B37),0)</f>
        <v>36</v>
      </c>
      <c r="J37" s="109">
        <f t="shared" si="0"/>
        <v>56</v>
      </c>
    </row>
    <row r="38" spans="1:11" ht="15" customHeight="1" x14ac:dyDescent="0.25">
      <c r="A38" s="578" t="s">
        <v>302</v>
      </c>
      <c r="B38" s="59" t="s">
        <v>55</v>
      </c>
      <c r="C38" s="661">
        <f>IFERROR(GETPIVOTDATA("Sum of Brigade Manager",h5a!$A$3,"ReportingLevel","1:LA","lvl",$B38),0)</f>
        <v>0</v>
      </c>
      <c r="D38" s="661">
        <f>IFERROR(GETPIVOTDATA("Sum of Area Manager",h5a!$A$3,"ReportingLevel","1:LA","lvl",$B38),0)</f>
        <v>0</v>
      </c>
      <c r="E38" s="661">
        <f>IFERROR(GETPIVOTDATA("Sum of Group Manager",h5a!$A$3,"ReportingLevel","1:LA","lvl",$B38),0)</f>
        <v>0</v>
      </c>
      <c r="F38" s="661">
        <f>IFERROR(GETPIVOTDATA("Sum of Station Manager",h5a!$A$3,"ReportingLevel","1:LA","lvl",$B38),0)</f>
        <v>0</v>
      </c>
      <c r="G38" s="83">
        <f>IFERROR(GETPIVOTDATA("Sum of Watch Manager",h5a!$A$3,"ReportingLevel","1:LA","lvl",$B38),0)</f>
        <v>0</v>
      </c>
      <c r="H38" s="83">
        <f>IFERROR(GETPIVOTDATA("Sum of Crew Manager",h5a!$A$3,"ReportingLevel","1:LA","lvl",$B38),0)</f>
        <v>0</v>
      </c>
      <c r="I38" s="83">
        <f>IFERROR(GETPIVOTDATA("Sum of Firefighter",h5a!$A$3,"ReportingLevel","1:LA","lvl",$B38),0)</f>
        <v>0</v>
      </c>
      <c r="J38" s="109">
        <f t="shared" si="0"/>
        <v>0</v>
      </c>
    </row>
    <row r="39" spans="1:11" ht="15" customHeight="1" x14ac:dyDescent="0.25">
      <c r="A39" s="578" t="s">
        <v>303</v>
      </c>
      <c r="B39" s="59" t="s">
        <v>56</v>
      </c>
      <c r="C39" s="661">
        <f>IFERROR(GETPIVOTDATA("Sum of Brigade Manager",h5a!$A$3,"ReportingLevel","1:LA","lvl",$B39),0)</f>
        <v>0</v>
      </c>
      <c r="D39" s="661">
        <f>IFERROR(GETPIVOTDATA("Sum of Area Manager",h5a!$A$3,"ReportingLevel","1:LA","lvl",$B39),0)</f>
        <v>0</v>
      </c>
      <c r="E39" s="661">
        <f>IFERROR(GETPIVOTDATA("Sum of Group Manager",h5a!$A$3,"ReportingLevel","1:LA","lvl",$B39),0)</f>
        <v>0</v>
      </c>
      <c r="F39" s="661">
        <f>IFERROR(GETPIVOTDATA("Sum of Station Manager",h5a!$A$3,"ReportingLevel","1:LA","lvl",$B39),0)</f>
        <v>0</v>
      </c>
      <c r="G39" s="83">
        <f>IFERROR(GETPIVOTDATA("Sum of Watch Manager",h5a!$A$3,"ReportingLevel","1:LA","lvl",$B39),0)</f>
        <v>5</v>
      </c>
      <c r="H39" s="83">
        <f>IFERROR(GETPIVOTDATA("Sum of Crew Manager",h5a!$A$3,"ReportingLevel","1:LA","lvl",$B39),0)</f>
        <v>11</v>
      </c>
      <c r="I39" s="83">
        <f>IFERROR(GETPIVOTDATA("Sum of Firefighter",h5a!$A$3,"ReportingLevel","1:LA","lvl",$B39),0)</f>
        <v>34</v>
      </c>
      <c r="J39" s="109">
        <f t="shared" si="0"/>
        <v>50</v>
      </c>
    </row>
    <row r="40" spans="1:11" ht="15" customHeight="1" x14ac:dyDescent="0.25">
      <c r="A40" s="578" t="s">
        <v>304</v>
      </c>
      <c r="B40" s="59" t="s">
        <v>57</v>
      </c>
      <c r="C40" s="661">
        <f>IFERROR(GETPIVOTDATA("Sum of Brigade Manager",h5a!$A$3,"ReportingLevel","1:LA","lvl",$B40),0)</f>
        <v>0</v>
      </c>
      <c r="D40" s="661">
        <f>IFERROR(GETPIVOTDATA("Sum of Area Manager",h5a!$A$3,"ReportingLevel","1:LA","lvl",$B40),0)</f>
        <v>0</v>
      </c>
      <c r="E40" s="661">
        <f>IFERROR(GETPIVOTDATA("Sum of Group Manager",h5a!$A$3,"ReportingLevel","1:LA","lvl",$B40),0)</f>
        <v>0</v>
      </c>
      <c r="F40" s="661">
        <f>IFERROR(GETPIVOTDATA("Sum of Station Manager",h5a!$A$3,"ReportingLevel","1:LA","lvl",$B40),0)</f>
        <v>0</v>
      </c>
      <c r="G40" s="83">
        <f>IFERROR(GETPIVOTDATA("Sum of Watch Manager",h5a!$A$3,"ReportingLevel","1:LA","lvl",$B40),0)</f>
        <v>20</v>
      </c>
      <c r="H40" s="83">
        <f>IFERROR(GETPIVOTDATA("Sum of Crew Manager",h5a!$A$3,"ReportingLevel","1:LA","lvl",$B40),0)</f>
        <v>36</v>
      </c>
      <c r="I40" s="83">
        <f>IFERROR(GETPIVOTDATA("Sum of Firefighter",h5a!$A$3,"ReportingLevel","1:LA","lvl",$B40),0)</f>
        <v>111</v>
      </c>
      <c r="J40" s="109">
        <f t="shared" si="0"/>
        <v>167</v>
      </c>
    </row>
    <row r="41" spans="1:11" ht="15" customHeight="1" x14ac:dyDescent="0.25">
      <c r="A41" s="578" t="s">
        <v>305</v>
      </c>
      <c r="B41" s="59" t="s">
        <v>58</v>
      </c>
      <c r="C41" s="661">
        <f>IFERROR(GETPIVOTDATA("Sum of Brigade Manager",h5a!$A$3,"ReportingLevel","1:LA","lvl",$B41),0)</f>
        <v>0</v>
      </c>
      <c r="D41" s="661">
        <f>IFERROR(GETPIVOTDATA("Sum of Area Manager",h5a!$A$3,"ReportingLevel","1:LA","lvl",$B41),0)</f>
        <v>0</v>
      </c>
      <c r="E41" s="661">
        <f>IFERROR(GETPIVOTDATA("Sum of Group Manager",h5a!$A$3,"ReportingLevel","1:LA","lvl",$B41),0)</f>
        <v>0</v>
      </c>
      <c r="F41" s="661">
        <f>IFERROR(GETPIVOTDATA("Sum of Station Manager",h5a!$A$3,"ReportingLevel","1:LA","lvl",$B41),0)</f>
        <v>0</v>
      </c>
      <c r="G41" s="83">
        <f>IFERROR(GETPIVOTDATA("Sum of Watch Manager",h5a!$A$3,"ReportingLevel","1:LA","lvl",$B41),0)</f>
        <v>5</v>
      </c>
      <c r="H41" s="83">
        <f>IFERROR(GETPIVOTDATA("Sum of Crew Manager",h5a!$A$3,"ReportingLevel","1:LA","lvl",$B41),0)</f>
        <v>10</v>
      </c>
      <c r="I41" s="83">
        <f>IFERROR(GETPIVOTDATA("Sum of Firefighter",h5a!$A$3,"ReportingLevel","1:LA","lvl",$B41),0)</f>
        <v>34</v>
      </c>
      <c r="J41" s="109">
        <f t="shared" si="0"/>
        <v>49</v>
      </c>
    </row>
    <row r="42" spans="1:11" ht="15" customHeight="1" x14ac:dyDescent="0.25">
      <c r="A42" s="578" t="s">
        <v>311</v>
      </c>
      <c r="B42" s="59" t="s">
        <v>59</v>
      </c>
      <c r="C42" s="661">
        <f>IFERROR(GETPIVOTDATA("Sum of Brigade Manager",h5a!$A$3,"ReportingLevel","1:LA","lvl",$B42),0)</f>
        <v>0</v>
      </c>
      <c r="D42" s="661">
        <f>IFERROR(GETPIVOTDATA("Sum of Area Manager",h5a!$A$3,"ReportingLevel","1:LA","lvl",$B42),0)</f>
        <v>0</v>
      </c>
      <c r="E42" s="661">
        <f>IFERROR(GETPIVOTDATA("Sum of Group Manager",h5a!$A$3,"ReportingLevel","1:LA","lvl",$B42),0)</f>
        <v>0</v>
      </c>
      <c r="F42" s="661">
        <f>IFERROR(GETPIVOTDATA("Sum of Station Manager",h5a!$A$3,"ReportingLevel","1:LA","lvl",$B42),0)</f>
        <v>0</v>
      </c>
      <c r="G42" s="83">
        <f>IFERROR(GETPIVOTDATA("Sum of Watch Manager",h5a!$A$3,"ReportingLevel","1:LA","lvl",$B42),0)</f>
        <v>10</v>
      </c>
      <c r="H42" s="83">
        <f>IFERROR(GETPIVOTDATA("Sum of Crew Manager",h5a!$A$3,"ReportingLevel","1:LA","lvl",$B42),0)</f>
        <v>15</v>
      </c>
      <c r="I42" s="83">
        <f>IFERROR(GETPIVOTDATA("Sum of Firefighter",h5a!$A$3,"ReportingLevel","1:LA","lvl",$B42),0)</f>
        <v>48</v>
      </c>
      <c r="J42" s="109">
        <f t="shared" si="0"/>
        <v>73</v>
      </c>
    </row>
    <row r="43" spans="1:11" ht="15" customHeight="1" x14ac:dyDescent="0.25">
      <c r="A43" s="578" t="s">
        <v>312</v>
      </c>
      <c r="B43" s="59" t="s">
        <v>60</v>
      </c>
      <c r="C43" s="661">
        <f>IFERROR(GETPIVOTDATA("Sum of Brigade Manager",h5a!$A$3,"ReportingLevel","1:LA","lvl",$B43),0)</f>
        <v>0</v>
      </c>
      <c r="D43" s="661">
        <f>IFERROR(GETPIVOTDATA("Sum of Area Manager",h5a!$A$3,"ReportingLevel","1:LA","lvl",$B43),0)</f>
        <v>0</v>
      </c>
      <c r="E43" s="661">
        <f>IFERROR(GETPIVOTDATA("Sum of Group Manager",h5a!$A$3,"ReportingLevel","1:LA","lvl",$B43),0)</f>
        <v>0</v>
      </c>
      <c r="F43" s="661">
        <f>IFERROR(GETPIVOTDATA("Sum of Station Manager",h5a!$A$3,"ReportingLevel","1:LA","lvl",$B43),0)</f>
        <v>0</v>
      </c>
      <c r="G43" s="83">
        <f>IFERROR(GETPIVOTDATA("Sum of Watch Manager",h5a!$A$3,"ReportingLevel","1:LA","lvl",$B43),0)</f>
        <v>10</v>
      </c>
      <c r="H43" s="83">
        <f>IFERROR(GETPIVOTDATA("Sum of Crew Manager",h5a!$A$3,"ReportingLevel","1:LA","lvl",$B43),0)</f>
        <v>10</v>
      </c>
      <c r="I43" s="83">
        <f>IFERROR(GETPIVOTDATA("Sum of Firefighter",h5a!$A$3,"ReportingLevel","1:LA","lvl",$B43),0)</f>
        <v>36</v>
      </c>
      <c r="J43" s="109">
        <f t="shared" si="0"/>
        <v>56</v>
      </c>
    </row>
    <row r="44" spans="1:11" ht="30" customHeight="1" thickBot="1" x14ac:dyDescent="0.3">
      <c r="A44" s="63"/>
      <c r="B44" s="63" t="s">
        <v>61</v>
      </c>
      <c r="C44" s="662">
        <f t="shared" ref="C44:J44" si="1">SUM(C12:C43)</f>
        <v>0</v>
      </c>
      <c r="D44" s="662">
        <f t="shared" si="1"/>
        <v>0</v>
      </c>
      <c r="E44" s="662">
        <f t="shared" si="1"/>
        <v>0</v>
      </c>
      <c r="F44" s="662">
        <f t="shared" si="1"/>
        <v>0</v>
      </c>
      <c r="G44" s="87">
        <f t="shared" si="1"/>
        <v>377</v>
      </c>
      <c r="H44" s="87">
        <f t="shared" si="1"/>
        <v>592</v>
      </c>
      <c r="I44" s="87">
        <f t="shared" si="1"/>
        <v>1985</v>
      </c>
      <c r="J44" s="463">
        <f t="shared" si="1"/>
        <v>2954</v>
      </c>
      <c r="K44" s="367"/>
    </row>
    <row r="45" spans="1:11" ht="13.5" customHeight="1" x14ac:dyDescent="0.25">
      <c r="A45" s="693"/>
      <c r="B45" s="693"/>
      <c r="J45" s="694"/>
      <c r="K45" s="367"/>
    </row>
    <row r="46" spans="1:11" ht="30" customHeight="1" x14ac:dyDescent="0.25">
      <c r="A46" s="66" t="s">
        <v>535</v>
      </c>
      <c r="B46" s="66" t="s">
        <v>62</v>
      </c>
      <c r="C46" s="54"/>
      <c r="D46" s="54"/>
      <c r="E46" s="54"/>
      <c r="F46" s="54"/>
      <c r="G46" s="54"/>
      <c r="H46" s="54"/>
      <c r="I46" s="54"/>
      <c r="J46" s="93"/>
    </row>
    <row r="47" spans="1:11" ht="22.5" customHeight="1" x14ac:dyDescent="0.25">
      <c r="A47" s="579" t="s">
        <v>374</v>
      </c>
      <c r="B47" s="68" t="s">
        <v>31</v>
      </c>
      <c r="C47" s="660">
        <f>IFERROR(GETPIVOTDATA("Sum of Brigade Manager",h5a!$A$3,"ReportingLevel","2:LSO","lvl",$B47),0)</f>
        <v>0</v>
      </c>
      <c r="D47" s="416">
        <f>IFERROR(GETPIVOTDATA("Sum of Area Manager",h5a!$A$3,"ReportingLevel","2:LSO","lvl",$B47),0)</f>
        <v>1</v>
      </c>
      <c r="E47" s="416">
        <f>IFERROR(GETPIVOTDATA("Sum of Group Manager",h5a!$A$3,"ReportingLevel","2:LSO","lvl",$B47),0)</f>
        <v>2</v>
      </c>
      <c r="F47" s="416">
        <f>IFERROR(GETPIVOTDATA("Sum of Station Manager",h5a!$A$3,"ReportingLevel","2:LSO","lvl",$B47),0)</f>
        <v>4</v>
      </c>
      <c r="G47" s="416">
        <f>IFERROR(GETPIVOTDATA("Sum of Watch Manager",h5a!$A$3,"ReportingLevel","2:LSO","lvl",$B47),0)</f>
        <v>6</v>
      </c>
      <c r="H47" s="416">
        <f>IFERROR(GETPIVOTDATA("Sum of Crew Manager",h5a!$A$3,"ReportingLevel","2:LSO","lvl",$B47),0)</f>
        <v>2</v>
      </c>
      <c r="I47" s="416">
        <f>IFERROR(GETPIVOTDATA("Sum of Firefighter",h5a!$A$3,"ReportingLevel","2:LSO","lvl",$B47),0)</f>
        <v>2</v>
      </c>
      <c r="J47" s="109">
        <f t="shared" ref="J47:J63" si="2">SUM(C47:I47)</f>
        <v>17</v>
      </c>
    </row>
    <row r="48" spans="1:11" ht="13.5" customHeight="1" x14ac:dyDescent="0.25">
      <c r="A48" s="580" t="s">
        <v>375</v>
      </c>
      <c r="B48" s="70" t="s">
        <v>64</v>
      </c>
      <c r="C48" s="661">
        <f>IFERROR(GETPIVOTDATA("Sum of Brigade Manager",h5a!$A$3,"ReportingLevel","2:LSO","lvl",$B48),0)</f>
        <v>0</v>
      </c>
      <c r="D48" s="83">
        <f>IFERROR(GETPIVOTDATA("Sum of Area Manager",h5a!$A$3,"ReportingLevel","2:LSO","lvl",$B48),0)</f>
        <v>1</v>
      </c>
      <c r="E48" s="83">
        <f>IFERROR(GETPIVOTDATA("Sum of Group Manager",h5a!$A$3,"ReportingLevel","2:LSO","lvl",$B48),0)</f>
        <v>2</v>
      </c>
      <c r="F48" s="83">
        <f>IFERROR(GETPIVOTDATA("Sum of Station Manager",h5a!$A$3,"ReportingLevel","2:LSO","lvl",$B48),0)</f>
        <v>8</v>
      </c>
      <c r="G48" s="83">
        <f>IFERROR(GETPIVOTDATA("Sum of Watch Manager",h5a!$A$3,"ReportingLevel","2:LSO","lvl",$B48),0)</f>
        <v>8</v>
      </c>
      <c r="H48" s="83">
        <f>IFERROR(GETPIVOTDATA("Sum of Crew Manager",h5a!$A$3,"ReportingLevel","2:LSO","lvl",$B48),0)</f>
        <v>6</v>
      </c>
      <c r="I48" s="83">
        <f>IFERROR(GETPIVOTDATA("Sum of Firefighter",h5a!$A$3,"ReportingLevel","2:LSO","lvl",$B48),0)</f>
        <v>0</v>
      </c>
      <c r="J48" s="109">
        <f t="shared" si="2"/>
        <v>25</v>
      </c>
    </row>
    <row r="49" spans="1:10" ht="13.5" customHeight="1" x14ac:dyDescent="0.25">
      <c r="A49" s="580" t="s">
        <v>377</v>
      </c>
      <c r="B49" s="70" t="s">
        <v>65</v>
      </c>
      <c r="C49" s="661">
        <f>IFERROR(GETPIVOTDATA("Sum of Brigade Manager",h5a!$A$3,"ReportingLevel","2:LSO","lvl",$B49),0)</f>
        <v>0</v>
      </c>
      <c r="D49" s="83">
        <f>IFERROR(GETPIVOTDATA("Sum of Area Manager",h5a!$A$3,"ReportingLevel","2:LSO","lvl",$B49),0)</f>
        <v>1</v>
      </c>
      <c r="E49" s="83">
        <f>IFERROR(GETPIVOTDATA("Sum of Group Manager",h5a!$A$3,"ReportingLevel","2:LSO","lvl",$B49),0)</f>
        <v>3</v>
      </c>
      <c r="F49" s="83">
        <f>IFERROR(GETPIVOTDATA("Sum of Station Manager",h5a!$A$3,"ReportingLevel","2:LSO","lvl",$B49),0)</f>
        <v>8</v>
      </c>
      <c r="G49" s="83">
        <f>IFERROR(GETPIVOTDATA("Sum of Watch Manager",h5a!$A$3,"ReportingLevel","2:LSO","lvl",$B49),0)</f>
        <v>6</v>
      </c>
      <c r="H49" s="83">
        <f>IFERROR(GETPIVOTDATA("Sum of Crew Manager",h5a!$A$3,"ReportingLevel","2:LSO","lvl",$B49),0)</f>
        <v>6</v>
      </c>
      <c r="I49" s="83">
        <f>IFERROR(GETPIVOTDATA("Sum of Firefighter",h5a!$A$3,"ReportingLevel","2:LSO","lvl",$B49),0)</f>
        <v>2</v>
      </c>
      <c r="J49" s="109">
        <f t="shared" si="2"/>
        <v>26</v>
      </c>
    </row>
    <row r="50" spans="1:10" ht="13.5" customHeight="1" x14ac:dyDescent="0.25">
      <c r="A50" s="580" t="s">
        <v>378</v>
      </c>
      <c r="B50" s="70" t="s">
        <v>36</v>
      </c>
      <c r="C50" s="661">
        <f>IFERROR(GETPIVOTDATA("Sum of Brigade Manager",h5a!$A$3,"ReportingLevel","2:LSO","lvl",$B50),0)</f>
        <v>0</v>
      </c>
      <c r="D50" s="83">
        <f>IFERROR(GETPIVOTDATA("Sum of Area Manager",h5a!$A$3,"ReportingLevel","2:LSO","lvl",$B50),0)</f>
        <v>1</v>
      </c>
      <c r="E50" s="83">
        <f>IFERROR(GETPIVOTDATA("Sum of Group Manager",h5a!$A$3,"ReportingLevel","2:LSO","lvl",$B50),0)</f>
        <v>2</v>
      </c>
      <c r="F50" s="83">
        <f>IFERROR(GETPIVOTDATA("Sum of Station Manager",h5a!$A$3,"ReportingLevel","2:LSO","lvl",$B50),0)</f>
        <v>6</v>
      </c>
      <c r="G50" s="83">
        <f>IFERROR(GETPIVOTDATA("Sum of Watch Manager",h5a!$A$3,"ReportingLevel","2:LSO","lvl",$B50),0)</f>
        <v>7</v>
      </c>
      <c r="H50" s="83">
        <f>IFERROR(GETPIVOTDATA("Sum of Crew Manager",h5a!$A$3,"ReportingLevel","2:LSO","lvl",$B50),0)</f>
        <v>4</v>
      </c>
      <c r="I50" s="83">
        <f>IFERROR(GETPIVOTDATA("Sum of Firefighter",h5a!$A$3,"ReportingLevel","2:LSO","lvl",$B50),0)</f>
        <v>2</v>
      </c>
      <c r="J50" s="109">
        <f t="shared" si="2"/>
        <v>22</v>
      </c>
    </row>
    <row r="51" spans="1:10" ht="13.5" customHeight="1" x14ac:dyDescent="0.25">
      <c r="A51" s="580" t="s">
        <v>376</v>
      </c>
      <c r="B51" s="70" t="s">
        <v>67</v>
      </c>
      <c r="C51" s="661">
        <f>IFERROR(GETPIVOTDATA("Sum of Brigade Manager",h5a!$A$3,"ReportingLevel","2:LSO","lvl",$B51),0)</f>
        <v>0</v>
      </c>
      <c r="D51" s="83">
        <f>IFERROR(GETPIVOTDATA("Sum of Area Manager",h5a!$A$3,"ReportingLevel","2:LSO","lvl",$B51),0)</f>
        <v>1</v>
      </c>
      <c r="E51" s="83">
        <f>IFERROR(GETPIVOTDATA("Sum of Group Manager",h5a!$A$3,"ReportingLevel","2:LSO","lvl",$B51),0)</f>
        <v>4</v>
      </c>
      <c r="F51" s="83">
        <f>IFERROR(GETPIVOTDATA("Sum of Station Manager",h5a!$A$3,"ReportingLevel","2:LSO","lvl",$B51),0)</f>
        <v>8</v>
      </c>
      <c r="G51" s="83">
        <f>IFERROR(GETPIVOTDATA("Sum of Watch Manager",h5a!$A$3,"ReportingLevel","2:LSO","lvl",$B51),0)</f>
        <v>11</v>
      </c>
      <c r="H51" s="83">
        <f>IFERROR(GETPIVOTDATA("Sum of Crew Manager",h5a!$A$3,"ReportingLevel","2:LSO","lvl",$B51),0)</f>
        <v>3</v>
      </c>
      <c r="I51" s="83">
        <f>IFERROR(GETPIVOTDATA("Sum of Firefighter",h5a!$A$3,"ReportingLevel","2:LSO","lvl",$B51),0)</f>
        <v>2</v>
      </c>
      <c r="J51" s="109">
        <f t="shared" si="2"/>
        <v>29</v>
      </c>
    </row>
    <row r="52" spans="1:10" ht="13.5" customHeight="1" x14ac:dyDescent="0.25">
      <c r="A52" s="580" t="s">
        <v>379</v>
      </c>
      <c r="B52" s="70" t="s">
        <v>68</v>
      </c>
      <c r="C52" s="661">
        <f>IFERROR(GETPIVOTDATA("Sum of Brigade Manager",h5a!$A$3,"ReportingLevel","2:LSO","lvl",$B52),0)</f>
        <v>0</v>
      </c>
      <c r="D52" s="83">
        <f>IFERROR(GETPIVOTDATA("Sum of Area Manager",h5a!$A$3,"ReportingLevel","2:LSO","lvl",$B52),0)</f>
        <v>1</v>
      </c>
      <c r="E52" s="83">
        <f>IFERROR(GETPIVOTDATA("Sum of Group Manager",h5a!$A$3,"ReportingLevel","2:LSO","lvl",$B52),0)</f>
        <v>3</v>
      </c>
      <c r="F52" s="83">
        <f>IFERROR(GETPIVOTDATA("Sum of Station Manager",h5a!$A$3,"ReportingLevel","2:LSO","lvl",$B52),0)</f>
        <v>9</v>
      </c>
      <c r="G52" s="83">
        <f>IFERROR(GETPIVOTDATA("Sum of Watch Manager",h5a!$A$3,"ReportingLevel","2:LSO","lvl",$B52),0)</f>
        <v>8</v>
      </c>
      <c r="H52" s="83">
        <f>IFERROR(GETPIVOTDATA("Sum of Crew Manager",h5a!$A$3,"ReportingLevel","2:LSO","lvl",$B52),0)</f>
        <v>2</v>
      </c>
      <c r="I52" s="83">
        <f>IFERROR(GETPIVOTDATA("Sum of Firefighter",h5a!$A$3,"ReportingLevel","2:LSO","lvl",$B52),0)</f>
        <v>2</v>
      </c>
      <c r="J52" s="109">
        <f t="shared" si="2"/>
        <v>25</v>
      </c>
    </row>
    <row r="53" spans="1:10" ht="13.5" customHeight="1" x14ac:dyDescent="0.25">
      <c r="A53" s="580" t="s">
        <v>380</v>
      </c>
      <c r="B53" s="70" t="s">
        <v>69</v>
      </c>
      <c r="C53" s="661">
        <f>IFERROR(GETPIVOTDATA("Sum of Brigade Manager",h5a!$A$3,"ReportingLevel","2:LSO","lvl",$B53),0)</f>
        <v>0</v>
      </c>
      <c r="D53" s="83">
        <f>IFERROR(GETPIVOTDATA("Sum of Area Manager",h5a!$A$3,"ReportingLevel","2:LSO","lvl",$B53),0)</f>
        <v>1</v>
      </c>
      <c r="E53" s="83">
        <f>IFERROR(GETPIVOTDATA("Sum of Group Manager",h5a!$A$3,"ReportingLevel","2:LSO","lvl",$B53),0)</f>
        <v>3</v>
      </c>
      <c r="F53" s="83">
        <f>IFERROR(GETPIVOTDATA("Sum of Station Manager",h5a!$A$3,"ReportingLevel","2:LSO","lvl",$B53),0)</f>
        <v>7</v>
      </c>
      <c r="G53" s="83">
        <f>IFERROR(GETPIVOTDATA("Sum of Watch Manager",h5a!$A$3,"ReportingLevel","2:LSO","lvl",$B53),0)</f>
        <v>9</v>
      </c>
      <c r="H53" s="83">
        <f>IFERROR(GETPIVOTDATA("Sum of Crew Manager",h5a!$A$3,"ReportingLevel","2:LSO","lvl",$B53),0)</f>
        <v>2</v>
      </c>
      <c r="I53" s="83">
        <f>IFERROR(GETPIVOTDATA("Sum of Firefighter",h5a!$A$3,"ReportingLevel","2:LSO","lvl",$B53),0)</f>
        <v>3</v>
      </c>
      <c r="J53" s="109">
        <f t="shared" si="2"/>
        <v>25</v>
      </c>
    </row>
    <row r="54" spans="1:10" ht="13.5" customHeight="1" x14ac:dyDescent="0.25">
      <c r="A54" s="525" t="s">
        <v>381</v>
      </c>
      <c r="B54" s="70" t="s">
        <v>70</v>
      </c>
      <c r="C54" s="661">
        <f>IFERROR(GETPIVOTDATA("Sum of Brigade Manager",h5a!$A$3,"ReportingLevel","2:LSO","lvl",$B54),0)</f>
        <v>0</v>
      </c>
      <c r="D54" s="83">
        <f>IFERROR(GETPIVOTDATA("Sum of Area Manager",h5a!$A$3,"ReportingLevel","2:LSO","lvl",$B54),0)</f>
        <v>1</v>
      </c>
      <c r="E54" s="83">
        <f>IFERROR(GETPIVOTDATA("Sum of Group Manager",h5a!$A$3,"ReportingLevel","2:LSO","lvl",$B54),0)</f>
        <v>4</v>
      </c>
      <c r="F54" s="83">
        <f>IFERROR(GETPIVOTDATA("Sum of Station Manager",h5a!$A$3,"ReportingLevel","2:LSO","lvl",$B54),0)</f>
        <v>4</v>
      </c>
      <c r="G54" s="83">
        <f>IFERROR(GETPIVOTDATA("Sum of Watch Manager",h5a!$A$3,"ReportingLevel","2:LSO","lvl",$B54),0)</f>
        <v>3</v>
      </c>
      <c r="H54" s="83">
        <f>IFERROR(GETPIVOTDATA("Sum of Crew Manager",h5a!$A$3,"ReportingLevel","2:LSO","lvl",$B54),0)</f>
        <v>0</v>
      </c>
      <c r="I54" s="83">
        <f>IFERROR(GETPIVOTDATA("Sum of Firefighter",h5a!$A$3,"ReportingLevel","2:LSO","lvl",$B54),0)</f>
        <v>2</v>
      </c>
      <c r="J54" s="109">
        <f t="shared" si="2"/>
        <v>14</v>
      </c>
    </row>
    <row r="55" spans="1:10" ht="13.5" customHeight="1" x14ac:dyDescent="0.25">
      <c r="A55" s="580" t="s">
        <v>382</v>
      </c>
      <c r="B55" s="70" t="s">
        <v>178</v>
      </c>
      <c r="C55" s="661">
        <f>IFERROR(GETPIVOTDATA("Sum of Brigade Manager",h5a!$A$3,"ReportingLevel","2:LSO","lvl",$B55),0)</f>
        <v>0</v>
      </c>
      <c r="D55" s="83">
        <f>IFERROR(GETPIVOTDATA("Sum of Area Manager",h5a!$A$3,"ReportingLevel","2:LSO","lvl",$B55),0)</f>
        <v>1</v>
      </c>
      <c r="E55" s="83">
        <f>IFERROR(GETPIVOTDATA("Sum of Group Manager",h5a!$A$3,"ReportingLevel","2:LSO","lvl",$B55),0)</f>
        <v>5</v>
      </c>
      <c r="F55" s="83">
        <f>IFERROR(GETPIVOTDATA("Sum of Station Manager",h5a!$A$3,"ReportingLevel","2:LSO","lvl",$B55),0)</f>
        <v>4</v>
      </c>
      <c r="G55" s="83">
        <f>IFERROR(GETPIVOTDATA("Sum of Watch Manager",h5a!$A$3,"ReportingLevel","2:LSO","lvl",$B55),0)</f>
        <v>12</v>
      </c>
      <c r="H55" s="83">
        <f>IFERROR(GETPIVOTDATA("Sum of Crew Manager",h5a!$A$3,"ReportingLevel","2:LSO","lvl",$B55),0)</f>
        <v>5</v>
      </c>
      <c r="I55" s="83">
        <f>IFERROR(GETPIVOTDATA("Sum of Firefighter",h5a!$A$3,"ReportingLevel","2:LSO","lvl",$B55),0)</f>
        <v>2</v>
      </c>
      <c r="J55" s="109">
        <f t="shared" si="2"/>
        <v>29</v>
      </c>
    </row>
    <row r="56" spans="1:10" ht="13.5" customHeight="1" x14ac:dyDescent="0.25">
      <c r="A56" s="580" t="s">
        <v>383</v>
      </c>
      <c r="B56" s="70" t="s">
        <v>71</v>
      </c>
      <c r="C56" s="661">
        <f>IFERROR(GETPIVOTDATA("Sum of Brigade Manager",h5a!$A$3,"ReportingLevel","2:LSO","lvl",$B56),0)</f>
        <v>0</v>
      </c>
      <c r="D56" s="83">
        <f>IFERROR(GETPIVOTDATA("Sum of Area Manager",h5a!$A$3,"ReportingLevel","2:LSO","lvl",$B56),0)</f>
        <v>1</v>
      </c>
      <c r="E56" s="83">
        <f>IFERROR(GETPIVOTDATA("Sum of Group Manager",h5a!$A$3,"ReportingLevel","2:LSO","lvl",$B56),0)</f>
        <v>2</v>
      </c>
      <c r="F56" s="83">
        <f>IFERROR(GETPIVOTDATA("Sum of Station Manager",h5a!$A$3,"ReportingLevel","2:LSO","lvl",$B56),0)</f>
        <v>6</v>
      </c>
      <c r="G56" s="83">
        <f>IFERROR(GETPIVOTDATA("Sum of Watch Manager",h5a!$A$3,"ReportingLevel","2:LSO","lvl",$B56),0)</f>
        <v>6</v>
      </c>
      <c r="H56" s="83">
        <f>IFERROR(GETPIVOTDATA("Sum of Crew Manager",h5a!$A$3,"ReportingLevel","2:LSO","lvl",$B56),0)</f>
        <v>3</v>
      </c>
      <c r="I56" s="83">
        <f>IFERROR(GETPIVOTDATA("Sum of Firefighter",h5a!$A$3,"ReportingLevel","2:LSO","lvl",$B56),0)</f>
        <v>2</v>
      </c>
      <c r="J56" s="109">
        <f t="shared" si="2"/>
        <v>20</v>
      </c>
    </row>
    <row r="57" spans="1:10" ht="13.5" customHeight="1" x14ac:dyDescent="0.25">
      <c r="A57" s="580" t="s">
        <v>384</v>
      </c>
      <c r="B57" s="70" t="s">
        <v>43</v>
      </c>
      <c r="C57" s="661">
        <f>IFERROR(GETPIVOTDATA("Sum of Brigade Manager",h5a!$A$3,"ReportingLevel","2:LSO","lvl",$B57),0)</f>
        <v>0</v>
      </c>
      <c r="D57" s="83">
        <f>IFERROR(GETPIVOTDATA("Sum of Area Manager",h5a!$A$3,"ReportingLevel","2:LSO","lvl",$B57),0)</f>
        <v>0</v>
      </c>
      <c r="E57" s="83">
        <f>IFERROR(GETPIVOTDATA("Sum of Group Manager",h5a!$A$3,"ReportingLevel","2:LSO","lvl",$B57),0)</f>
        <v>2</v>
      </c>
      <c r="F57" s="83">
        <f>IFERROR(GETPIVOTDATA("Sum of Station Manager",h5a!$A$3,"ReportingLevel","2:LSO","lvl",$B57),0)</f>
        <v>6</v>
      </c>
      <c r="G57" s="83">
        <f>IFERROR(GETPIVOTDATA("Sum of Watch Manager",h5a!$A$3,"ReportingLevel","2:LSO","lvl",$B57),0)</f>
        <v>6</v>
      </c>
      <c r="H57" s="83">
        <f>IFERROR(GETPIVOTDATA("Sum of Crew Manager",h5a!$A$3,"ReportingLevel","2:LSO","lvl",$B57),0)</f>
        <v>0</v>
      </c>
      <c r="I57" s="83">
        <f>IFERROR(GETPIVOTDATA("Sum of Firefighter",h5a!$A$3,"ReportingLevel","2:LSO","lvl",$B57),0)</f>
        <v>4</v>
      </c>
      <c r="J57" s="109">
        <f t="shared" si="2"/>
        <v>18</v>
      </c>
    </row>
    <row r="58" spans="1:10" ht="13.5" customHeight="1" x14ac:dyDescent="0.25">
      <c r="A58" s="580" t="s">
        <v>385</v>
      </c>
      <c r="B58" s="70" t="s">
        <v>124</v>
      </c>
      <c r="C58" s="661">
        <f>IFERROR(GETPIVOTDATA("Sum of Brigade Manager",h5a!$A$3,"ReportingLevel","2:LSO","lvl",$B58),0)</f>
        <v>0</v>
      </c>
      <c r="D58" s="83">
        <f>IFERROR(GETPIVOTDATA("Sum of Area Manager",h5a!$A$3,"ReportingLevel","2:LSO","lvl",$B58),0)</f>
        <v>1</v>
      </c>
      <c r="E58" s="83">
        <f>IFERROR(GETPIVOTDATA("Sum of Group Manager",h5a!$A$3,"ReportingLevel","2:LSO","lvl",$B58),0)</f>
        <v>4</v>
      </c>
      <c r="F58" s="83">
        <f>IFERROR(GETPIVOTDATA("Sum of Station Manager",h5a!$A$3,"ReportingLevel","2:LSO","lvl",$B58),0)</f>
        <v>9</v>
      </c>
      <c r="G58" s="83">
        <f>IFERROR(GETPIVOTDATA("Sum of Watch Manager",h5a!$A$3,"ReportingLevel","2:LSO","lvl",$B58),0)</f>
        <v>7</v>
      </c>
      <c r="H58" s="83">
        <f>IFERROR(GETPIVOTDATA("Sum of Crew Manager",h5a!$A$3,"ReportingLevel","2:LSO","lvl",$B58),0)</f>
        <v>2</v>
      </c>
      <c r="I58" s="83">
        <f>IFERROR(GETPIVOTDATA("Sum of Firefighter",h5a!$A$3,"ReportingLevel","2:LSO","lvl",$B58),0)</f>
        <v>2</v>
      </c>
      <c r="J58" s="109">
        <f t="shared" si="2"/>
        <v>25</v>
      </c>
    </row>
    <row r="59" spans="1:10" ht="13.5" customHeight="1" x14ac:dyDescent="0.25">
      <c r="A59" s="580" t="s">
        <v>386</v>
      </c>
      <c r="B59" s="70" t="s">
        <v>72</v>
      </c>
      <c r="C59" s="661">
        <f>IFERROR(GETPIVOTDATA("Sum of Brigade Manager",h5a!$A$3,"ReportingLevel","2:LSO","lvl",$B59),0)</f>
        <v>0</v>
      </c>
      <c r="D59" s="83">
        <f>IFERROR(GETPIVOTDATA("Sum of Area Manager",h5a!$A$3,"ReportingLevel","2:LSO","lvl",$B59),0)</f>
        <v>1</v>
      </c>
      <c r="E59" s="83">
        <f>IFERROR(GETPIVOTDATA("Sum of Group Manager",h5a!$A$3,"ReportingLevel","2:LSO","lvl",$B59),0)</f>
        <v>4</v>
      </c>
      <c r="F59" s="83">
        <f>IFERROR(GETPIVOTDATA("Sum of Station Manager",h5a!$A$3,"ReportingLevel","2:LSO","lvl",$B59),0)</f>
        <v>14</v>
      </c>
      <c r="G59" s="83">
        <f>IFERROR(GETPIVOTDATA("Sum of Watch Manager",h5a!$A$3,"ReportingLevel","2:LSO","lvl",$B59),0)</f>
        <v>16</v>
      </c>
      <c r="H59" s="83">
        <f>IFERROR(GETPIVOTDATA("Sum of Crew Manager",h5a!$A$3,"ReportingLevel","2:LSO","lvl",$B59),0)</f>
        <v>9</v>
      </c>
      <c r="I59" s="83">
        <f>IFERROR(GETPIVOTDATA("Sum of Firefighter",h5a!$A$3,"ReportingLevel","2:LSO","lvl",$B59),0)</f>
        <v>1</v>
      </c>
      <c r="J59" s="109">
        <f t="shared" si="2"/>
        <v>45</v>
      </c>
    </row>
    <row r="60" spans="1:10" ht="13.5" customHeight="1" x14ac:dyDescent="0.25">
      <c r="A60" s="580" t="s">
        <v>387</v>
      </c>
      <c r="B60" s="70" t="s">
        <v>50</v>
      </c>
      <c r="C60" s="661">
        <f>IFERROR(GETPIVOTDATA("Sum of Brigade Manager",h5a!$A$3,"ReportingLevel","2:LSO","lvl",$B60),0)</f>
        <v>0</v>
      </c>
      <c r="D60" s="83">
        <f>IFERROR(GETPIVOTDATA("Sum of Area Manager",h5a!$A$3,"ReportingLevel","2:LSO","lvl",$B60),0)</f>
        <v>1</v>
      </c>
      <c r="E60" s="83">
        <f>IFERROR(GETPIVOTDATA("Sum of Group Manager",h5a!$A$3,"ReportingLevel","2:LSO","lvl",$B60),0)</f>
        <v>2</v>
      </c>
      <c r="F60" s="83">
        <f>IFERROR(GETPIVOTDATA("Sum of Station Manager",h5a!$A$3,"ReportingLevel","2:LSO","lvl",$B60),0)</f>
        <v>5</v>
      </c>
      <c r="G60" s="83">
        <f>IFERROR(GETPIVOTDATA("Sum of Watch Manager",h5a!$A$3,"ReportingLevel","2:LSO","lvl",$B60),0)</f>
        <v>6</v>
      </c>
      <c r="H60" s="83">
        <f>IFERROR(GETPIVOTDATA("Sum of Crew Manager",h5a!$A$3,"ReportingLevel","2:LSO","lvl",$B60),0)</f>
        <v>2</v>
      </c>
      <c r="I60" s="83">
        <f>IFERROR(GETPIVOTDATA("Sum of Firefighter",h5a!$A$3,"ReportingLevel","2:LSO","lvl",$B60),0)</f>
        <v>1</v>
      </c>
      <c r="J60" s="109">
        <f t="shared" si="2"/>
        <v>17</v>
      </c>
    </row>
    <row r="61" spans="1:10" ht="13.5" customHeight="1" x14ac:dyDescent="0.25">
      <c r="A61" s="580" t="s">
        <v>388</v>
      </c>
      <c r="B61" s="70" t="s">
        <v>57</v>
      </c>
      <c r="C61" s="661">
        <f>IFERROR(GETPIVOTDATA("Sum of Brigade Manager",h5a!$A$3,"ReportingLevel","2:LSO","lvl",$B61),0)</f>
        <v>0</v>
      </c>
      <c r="D61" s="83">
        <f>IFERROR(GETPIVOTDATA("Sum of Area Manager",h5a!$A$3,"ReportingLevel","2:LSO","lvl",$B61),0)</f>
        <v>1</v>
      </c>
      <c r="E61" s="83">
        <f>IFERROR(GETPIVOTDATA("Sum of Group Manager",h5a!$A$3,"ReportingLevel","2:LSO","lvl",$B61),0)</f>
        <v>2</v>
      </c>
      <c r="F61" s="83">
        <f>IFERROR(GETPIVOTDATA("Sum of Station Manager",h5a!$A$3,"ReportingLevel","2:LSO","lvl",$B61),0)</f>
        <v>6</v>
      </c>
      <c r="G61" s="83">
        <f>IFERROR(GETPIVOTDATA("Sum of Watch Manager",h5a!$A$3,"ReportingLevel","2:LSO","lvl",$B61),0)</f>
        <v>4</v>
      </c>
      <c r="H61" s="83">
        <f>IFERROR(GETPIVOTDATA("Sum of Crew Manager",h5a!$A$3,"ReportingLevel","2:LSO","lvl",$B61),0)</f>
        <v>2</v>
      </c>
      <c r="I61" s="83">
        <f>IFERROR(GETPIVOTDATA("Sum of Firefighter",h5a!$A$3,"ReportingLevel","2:LSO","lvl",$B61),0)</f>
        <v>1</v>
      </c>
      <c r="J61" s="109">
        <f t="shared" si="2"/>
        <v>16</v>
      </c>
    </row>
    <row r="62" spans="1:10" ht="13.5" customHeight="1" x14ac:dyDescent="0.25">
      <c r="A62" s="580" t="s">
        <v>389</v>
      </c>
      <c r="B62" s="70" t="s">
        <v>73</v>
      </c>
      <c r="C62" s="661">
        <f>IFERROR(GETPIVOTDATA("Sum of Brigade Manager",h5a!$A$3,"ReportingLevel","2:LSO","lvl",$B62),0)</f>
        <v>0</v>
      </c>
      <c r="D62" s="83">
        <f>IFERROR(GETPIVOTDATA("Sum of Area Manager",h5a!$A$3,"ReportingLevel","2:LSO","lvl",$B62),0)</f>
        <v>1</v>
      </c>
      <c r="E62" s="83">
        <f>IFERROR(GETPIVOTDATA("Sum of Group Manager",h5a!$A$3,"ReportingLevel","2:LSO","lvl",$B62),0)</f>
        <v>2</v>
      </c>
      <c r="F62" s="83">
        <f>IFERROR(GETPIVOTDATA("Sum of Station Manager",h5a!$A$3,"ReportingLevel","2:LSO","lvl",$B62),0)</f>
        <v>6</v>
      </c>
      <c r="G62" s="83">
        <f>IFERROR(GETPIVOTDATA("Sum of Watch Manager",h5a!$A$3,"ReportingLevel","2:LSO","lvl",$B62),0)</f>
        <v>5</v>
      </c>
      <c r="H62" s="83">
        <f>IFERROR(GETPIVOTDATA("Sum of Crew Manager",h5a!$A$3,"ReportingLevel","2:LSO","lvl",$B62),0)</f>
        <v>3</v>
      </c>
      <c r="I62" s="83">
        <f>IFERROR(GETPIVOTDATA("Sum of Firefighter",h5a!$A$3,"ReportingLevel","2:LSO","lvl",$B62),0)</f>
        <v>1</v>
      </c>
      <c r="J62" s="109">
        <f t="shared" si="2"/>
        <v>18</v>
      </c>
    </row>
    <row r="63" spans="1:10" ht="13.5" customHeight="1" x14ac:dyDescent="0.25">
      <c r="A63" s="580" t="s">
        <v>390</v>
      </c>
      <c r="B63" s="70" t="s">
        <v>74</v>
      </c>
      <c r="C63" s="661">
        <f>IFERROR(GETPIVOTDATA("Sum of Brigade Manager",h5a!$A$3,"ReportingLevel","2:LSO","lvl",$B63),0)</f>
        <v>0</v>
      </c>
      <c r="D63" s="83">
        <f>IFERROR(GETPIVOTDATA("Sum of Area Manager",h5a!$A$3,"ReportingLevel","2:LSO","lvl",$B63),0)</f>
        <v>1</v>
      </c>
      <c r="E63" s="83">
        <f>IFERROR(GETPIVOTDATA("Sum of Group Manager",h5a!$A$3,"ReportingLevel","2:LSO","lvl",$B63),0)</f>
        <v>3</v>
      </c>
      <c r="F63" s="83">
        <f>IFERROR(GETPIVOTDATA("Sum of Station Manager",h5a!$A$3,"ReportingLevel","2:LSO","lvl",$B63),0)</f>
        <v>5</v>
      </c>
      <c r="G63" s="83">
        <f>IFERROR(GETPIVOTDATA("Sum of Watch Manager",h5a!$A$3,"ReportingLevel","2:LSO","lvl",$B63),0)</f>
        <v>4</v>
      </c>
      <c r="H63" s="83">
        <f>IFERROR(GETPIVOTDATA("Sum of Crew Manager",h5a!$A$3,"ReportingLevel","2:LSO","lvl",$B63),0)</f>
        <v>3</v>
      </c>
      <c r="I63" s="83">
        <f>IFERROR(GETPIVOTDATA("Sum of Firefighter",h5a!$A$3,"ReportingLevel","2:LSO","lvl",$B63),0)</f>
        <v>0</v>
      </c>
      <c r="J63" s="109">
        <f t="shared" si="2"/>
        <v>16</v>
      </c>
    </row>
    <row r="64" spans="1:10" ht="30" customHeight="1" thickBot="1" x14ac:dyDescent="0.3">
      <c r="A64" s="71"/>
      <c r="B64" s="71" t="s">
        <v>75</v>
      </c>
      <c r="C64" s="662">
        <f t="shared" ref="C64:J64" si="3">SUM(C47:C63)</f>
        <v>0</v>
      </c>
      <c r="D64" s="87">
        <f t="shared" si="3"/>
        <v>16</v>
      </c>
      <c r="E64" s="87">
        <f t="shared" si="3"/>
        <v>49</v>
      </c>
      <c r="F64" s="87">
        <f t="shared" si="3"/>
        <v>115</v>
      </c>
      <c r="G64" s="87">
        <f t="shared" si="3"/>
        <v>124</v>
      </c>
      <c r="H64" s="87">
        <f t="shared" si="3"/>
        <v>54</v>
      </c>
      <c r="I64" s="87">
        <f t="shared" si="3"/>
        <v>29</v>
      </c>
      <c r="J64" s="87">
        <f t="shared" si="3"/>
        <v>387</v>
      </c>
    </row>
    <row r="65" spans="1:10" ht="13.5" customHeight="1" x14ac:dyDescent="0.25">
      <c r="A65" s="65"/>
      <c r="B65" s="65"/>
      <c r="C65" s="85"/>
      <c r="D65" s="85"/>
      <c r="E65" s="85"/>
      <c r="F65" s="85"/>
      <c r="G65" s="85"/>
      <c r="H65" s="85"/>
      <c r="I65" s="85"/>
      <c r="J65" s="85"/>
    </row>
    <row r="66" spans="1:10" ht="18.75" customHeight="1" x14ac:dyDescent="0.25">
      <c r="A66" s="97" t="s">
        <v>373</v>
      </c>
      <c r="B66" s="73" t="s">
        <v>15</v>
      </c>
      <c r="C66" s="54"/>
      <c r="D66" s="54"/>
      <c r="E66" s="54"/>
      <c r="F66" s="54"/>
      <c r="G66" s="54"/>
      <c r="H66" s="54"/>
      <c r="I66" s="54"/>
      <c r="J66" s="93"/>
    </row>
    <row r="67" spans="1:10" ht="22.5" customHeight="1" x14ac:dyDescent="0.25">
      <c r="A67" s="61" t="s">
        <v>411</v>
      </c>
      <c r="B67" s="74" t="s">
        <v>177</v>
      </c>
      <c r="C67" s="691">
        <f>IFERROR(GETPIVOTDATA("Sum of Brigade Manager",h5a!$A$3,"ReportingLevel","3:SDA","lvl",$B67),0)</f>
        <v>0</v>
      </c>
      <c r="D67" s="83">
        <f>IFERROR(GETPIVOTDATA("Sum of Area Manager",h5a!$A$3,"ReportingLevel","3:SDA","lvl",$B67),0)</f>
        <v>1</v>
      </c>
      <c r="E67" s="83">
        <f>IFERROR(GETPIVOTDATA("Sum of Group Manager",h5a!$A$3,"ReportingLevel","3:SDA","lvl",$B67),0)</f>
        <v>5</v>
      </c>
      <c r="F67" s="83">
        <f>IFERROR(GETPIVOTDATA("Sum of Station Manager",h5a!$A$3,"ReportingLevel","3:SDA","lvl",$B67),0)</f>
        <v>5</v>
      </c>
      <c r="G67" s="83">
        <f>IFERROR(GETPIVOTDATA("Sum of Watch Manager",h5a!$A$3,"ReportingLevel","3:SDA","lvl",$B67),0)</f>
        <v>18</v>
      </c>
      <c r="H67" s="83">
        <f>IFERROR(GETPIVOTDATA("Sum of Crew Manager",h5a!$A$3,"ReportingLevel","3:SDA","lvl",$B67),0)</f>
        <v>8</v>
      </c>
      <c r="I67" s="83">
        <f>IFERROR(GETPIVOTDATA("Sum of Firefighter",h5a!$A$3,"ReportingLevel","3:SDA","lvl",$B67),0)</f>
        <v>0</v>
      </c>
      <c r="J67" s="109">
        <f>SUM(C67:I67)</f>
        <v>37</v>
      </c>
    </row>
    <row r="68" spans="1:10" ht="13.5" customHeight="1" x14ac:dyDescent="0.25">
      <c r="A68" s="61" t="s">
        <v>413</v>
      </c>
      <c r="B68" s="59" t="s">
        <v>175</v>
      </c>
      <c r="C68" s="661">
        <f>IFERROR(GETPIVOTDATA("Sum of Brigade Manager",h5a!$A$3,"ReportingLevel","3:SDA","lvl",$B68),0)</f>
        <v>0</v>
      </c>
      <c r="D68" s="83">
        <f>IFERROR(GETPIVOTDATA("Sum of Area Manager",h5a!$A$3,"ReportingLevel","3:SDA","lvl",$B68),0)</f>
        <v>1</v>
      </c>
      <c r="E68" s="83">
        <f>IFERROR(GETPIVOTDATA("Sum of Group Manager",h5a!$A$3,"ReportingLevel","3:SDA","lvl",$B68),0)</f>
        <v>4</v>
      </c>
      <c r="F68" s="83">
        <f>IFERROR(GETPIVOTDATA("Sum of Station Manager",h5a!$A$3,"ReportingLevel","3:SDA","lvl",$B68),0)</f>
        <v>7</v>
      </c>
      <c r="G68" s="83">
        <f>IFERROR(GETPIVOTDATA("Sum of Watch Manager",h5a!$A$3,"ReportingLevel","3:SDA","lvl",$B68),0)</f>
        <v>11</v>
      </c>
      <c r="H68" s="83">
        <f>IFERROR(GETPIVOTDATA("Sum of Crew Manager",h5a!$A$3,"ReportingLevel","3:SDA","lvl",$B68),0)</f>
        <v>7</v>
      </c>
      <c r="I68" s="83">
        <f>IFERROR(GETPIVOTDATA("Sum of Firefighter",h5a!$A$3,"ReportingLevel","3:SDA","lvl",$B68),0)</f>
        <v>0</v>
      </c>
      <c r="J68" s="109">
        <f>SUM(C68:I68)</f>
        <v>30</v>
      </c>
    </row>
    <row r="69" spans="1:10" ht="13.5" customHeight="1" x14ac:dyDescent="0.25">
      <c r="A69" s="687" t="s">
        <v>412</v>
      </c>
      <c r="B69" s="59" t="s">
        <v>176</v>
      </c>
      <c r="C69" s="661">
        <f>IFERROR(GETPIVOTDATA("Sum of Brigade Manager",h5a!$A$3,"ReportingLevel","3:SDA","lvl",$B69),0)</f>
        <v>0</v>
      </c>
      <c r="D69" s="83">
        <f>IFERROR(GETPIVOTDATA("Sum of Area Manager",h5a!$A$3,"ReportingLevel","3:SDA","lvl",$B69),0)</f>
        <v>1</v>
      </c>
      <c r="E69" s="83">
        <f>IFERROR(GETPIVOTDATA("Sum of Group Manager",h5a!$A$3,"ReportingLevel","3:SDA","lvl",$B69),0)</f>
        <v>5</v>
      </c>
      <c r="F69" s="83">
        <f>IFERROR(GETPIVOTDATA("Sum of Station Manager",h5a!$A$3,"ReportingLevel","3:SDA","lvl",$B69),0)</f>
        <v>12</v>
      </c>
      <c r="G69" s="83">
        <f>IFERROR(GETPIVOTDATA("Sum of Watch Manager",h5a!$A$3,"ReportingLevel","3:SDA","lvl",$B69),0)</f>
        <v>35</v>
      </c>
      <c r="H69" s="83">
        <f>IFERROR(GETPIVOTDATA("Sum of Crew Manager",h5a!$A$3,"ReportingLevel","3:SDA","lvl",$B69),0)</f>
        <v>26</v>
      </c>
      <c r="I69" s="83">
        <f>IFERROR(GETPIVOTDATA("Sum of Firefighter",h5a!$A$3,"ReportingLevel","3:SDA","lvl",$B69),0)</f>
        <v>0</v>
      </c>
      <c r="J69" s="109">
        <f>SUM(C69:I69)</f>
        <v>79</v>
      </c>
    </row>
    <row r="70" spans="1:10" ht="30" customHeight="1" thickBot="1" x14ac:dyDescent="0.3">
      <c r="A70" s="76"/>
      <c r="B70" s="76" t="s">
        <v>80</v>
      </c>
      <c r="C70" s="692">
        <f t="shared" ref="C70:J70" si="4">SUM(C67:C69)</f>
        <v>0</v>
      </c>
      <c r="D70" s="122">
        <f t="shared" si="4"/>
        <v>3</v>
      </c>
      <c r="E70" s="122">
        <f t="shared" si="4"/>
        <v>14</v>
      </c>
      <c r="F70" s="122">
        <f t="shared" si="4"/>
        <v>24</v>
      </c>
      <c r="G70" s="122">
        <f t="shared" si="4"/>
        <v>64</v>
      </c>
      <c r="H70" s="122">
        <f t="shared" si="4"/>
        <v>41</v>
      </c>
      <c r="I70" s="122">
        <f t="shared" si="4"/>
        <v>0</v>
      </c>
      <c r="J70" s="463">
        <f t="shared" si="4"/>
        <v>146</v>
      </c>
    </row>
    <row r="71" spans="1:10" ht="18.75" customHeight="1" x14ac:dyDescent="0.25">
      <c r="A71" s="73" t="s">
        <v>532</v>
      </c>
      <c r="B71" s="65"/>
      <c r="C71" s="16"/>
      <c r="D71" s="16"/>
      <c r="E71" s="16"/>
      <c r="F71" s="16"/>
      <c r="G71" s="16"/>
      <c r="H71" s="16"/>
      <c r="I71" s="16"/>
      <c r="J71" s="16"/>
    </row>
    <row r="72" spans="1:10" ht="18.75" customHeight="1" thickBot="1" x14ac:dyDescent="0.3">
      <c r="A72" s="76" t="s">
        <v>391</v>
      </c>
      <c r="B72" s="95" t="s">
        <v>81</v>
      </c>
      <c r="C72" s="417">
        <f>IFERROR(GETPIVOTDATA("Sum of Brigade Manager",h5a!$A$3,"ReportingLevel","4:National","lvl","Scotland"),0)</f>
        <v>4</v>
      </c>
      <c r="D72" s="417">
        <f>IFERROR(GETPIVOTDATA("Sum of Area Manager",h5a!$A$3,"ReportingLevel","4:National","lvl","Scotland"),0)</f>
        <v>14</v>
      </c>
      <c r="E72" s="417">
        <f>IFERROR(GETPIVOTDATA("Sum of Group Manager",h5a!$A$3,"ReportingLevel","4:National","lvl","Scotland"),0)</f>
        <v>17</v>
      </c>
      <c r="F72" s="417">
        <f>IFERROR(GETPIVOTDATA("Sum of Station Manager",h5a!$A$3,"ReportingLevel","4:National","lvl","Scotland"),0)</f>
        <v>8</v>
      </c>
      <c r="G72" s="417">
        <f>IFERROR(GETPIVOTDATA("Sum of Watch Manager",h5a!$A$3,"ReportingLevel","4:National","lvl","Scotland"),0)</f>
        <v>46</v>
      </c>
      <c r="H72" s="417">
        <f>IFERROR(GETPIVOTDATA("Sum of Crew Manager",h5a!$A$3,"ReportingLevel","4:National","lvl","Scotland"),0)</f>
        <v>0</v>
      </c>
      <c r="I72" s="417">
        <f>IFERROR(GETPIVOTDATA("Sum of Firefighter",h5a!$A$3,"ReportingLevel","4:National","lvl","Scotland"),0)</f>
        <v>60</v>
      </c>
      <c r="J72" s="87">
        <f>SUM(C72:I72)</f>
        <v>149</v>
      </c>
    </row>
    <row r="73" spans="1:10" x14ac:dyDescent="0.25">
      <c r="C73" s="94"/>
      <c r="D73" s="94"/>
      <c r="E73" s="94"/>
      <c r="F73" s="94"/>
      <c r="G73" s="94"/>
      <c r="H73" s="94"/>
      <c r="I73" s="94"/>
      <c r="J73" s="94"/>
    </row>
    <row r="74" spans="1:10" x14ac:dyDescent="0.25">
      <c r="A74" s="512" t="s">
        <v>8</v>
      </c>
    </row>
    <row r="75" spans="1:10" ht="30" customHeight="1" x14ac:dyDescent="0.25">
      <c r="A75" s="1006" t="s">
        <v>1066</v>
      </c>
      <c r="B75" s="1006"/>
      <c r="C75" s="1006"/>
      <c r="D75" s="1006"/>
      <c r="E75" s="1006"/>
      <c r="F75" s="1006"/>
      <c r="G75" s="1006"/>
      <c r="H75" s="1006"/>
      <c r="I75" s="1006"/>
      <c r="J75" s="1006"/>
    </row>
    <row r="76" spans="1:10" x14ac:dyDescent="0.25">
      <c r="A76" s="509" t="s">
        <v>235</v>
      </c>
    </row>
    <row r="77" spans="1:10" ht="30" customHeight="1" x14ac:dyDescent="0.25">
      <c r="A77" s="1005" t="s">
        <v>232</v>
      </c>
      <c r="B77" s="1005"/>
      <c r="C77" s="1005"/>
      <c r="D77" s="1005"/>
      <c r="E77" s="1005"/>
      <c r="F77" s="1005"/>
      <c r="G77" s="1005"/>
      <c r="H77" s="1005"/>
      <c r="I77" s="1005"/>
      <c r="J77" s="1005"/>
    </row>
    <row r="78" spans="1:10" x14ac:dyDescent="0.25">
      <c r="A78" s="509" t="s">
        <v>533</v>
      </c>
    </row>
    <row r="79" spans="1:10" x14ac:dyDescent="0.25">
      <c r="A79" s="695" t="s">
        <v>230</v>
      </c>
    </row>
    <row r="80" spans="1:10" x14ac:dyDescent="0.25">
      <c r="A80" s="548" t="s">
        <v>231</v>
      </c>
    </row>
    <row r="82" spans="1:10" x14ac:dyDescent="0.25">
      <c r="A82" s="1006"/>
      <c r="B82" s="1006"/>
      <c r="C82" s="1006"/>
      <c r="D82" s="1006"/>
      <c r="E82" s="1006"/>
      <c r="F82" s="1006"/>
      <c r="G82" s="1006"/>
      <c r="H82" s="1006"/>
      <c r="I82" s="1006"/>
      <c r="J82" s="1006"/>
    </row>
    <row r="83" spans="1:10" x14ac:dyDescent="0.25">
      <c r="A83" s="556"/>
    </row>
    <row r="84" spans="1:10" x14ac:dyDescent="0.25">
      <c r="A84" s="509"/>
    </row>
  </sheetData>
  <sheetProtection algorithmName="SHA-512" hashValue="SQNGRyIflM7cu7z3Do74Kx1Tjcul42uFrzaCHqBR3vRHVinRaXOCjKCrgLfIxVLS9lZ3j6YcSYXGzkLe2+AaYg==" saltValue="7ryszXvegSilzyt7s67Vsw==" spinCount="100000" sheet="1" autoFilter="0" pivotTables="0"/>
  <mergeCells count="4">
    <mergeCell ref="A1:G1"/>
    <mergeCell ref="A77:J77"/>
    <mergeCell ref="A82:J82"/>
    <mergeCell ref="A75:J75"/>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57" orientation="portrait" r:id="rId1"/>
  <drawing r:id="rId2"/>
  <extLst>
    <ext xmlns:x14="http://schemas.microsoft.com/office/spreadsheetml/2009/9/main" uri="{A8765BA9-456A-4dab-B4F3-ACF838C121DE}">
      <x14:slicerList>
        <x14:slicer r:id="rId3"/>
      </x14:slicerList>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tint="0.39997558519241921"/>
  </sheetPr>
  <dimension ref="A1:I63"/>
  <sheetViews>
    <sheetView topLeftCell="A31" workbookViewId="0">
      <selection activeCell="A47" sqref="A47"/>
    </sheetView>
  </sheetViews>
  <sheetFormatPr defaultRowHeight="15" x14ac:dyDescent="0.25"/>
  <cols>
    <col min="1" max="1" width="61.7109375" customWidth="1"/>
    <col min="2" max="2" width="23" bestFit="1" customWidth="1"/>
    <col min="3" max="3" width="20.28515625" bestFit="1" customWidth="1"/>
    <col min="4" max="4" width="21.85546875" bestFit="1" customWidth="1"/>
    <col min="5" max="5" width="22.5703125" bestFit="1" customWidth="1"/>
    <col min="6" max="6" width="22" bestFit="1" customWidth="1"/>
    <col min="7" max="7" width="20.7109375" bestFit="1" customWidth="1"/>
    <col min="8" max="8" width="17.28515625" bestFit="1" customWidth="1"/>
    <col min="9" max="9" width="12" bestFit="1" customWidth="1"/>
  </cols>
  <sheetData>
    <row r="1" spans="1:9" x14ac:dyDescent="0.25">
      <c r="A1" s="569" t="s">
        <v>274</v>
      </c>
      <c r="B1" t="s">
        <v>258</v>
      </c>
    </row>
    <row r="3" spans="1:9" x14ac:dyDescent="0.25">
      <c r="A3" s="569" t="s">
        <v>250</v>
      </c>
      <c r="B3" t="s">
        <v>268</v>
      </c>
      <c r="C3" t="s">
        <v>269</v>
      </c>
      <c r="D3" t="s">
        <v>270</v>
      </c>
      <c r="E3" t="s">
        <v>271</v>
      </c>
      <c r="F3" t="s">
        <v>260</v>
      </c>
      <c r="G3" t="s">
        <v>272</v>
      </c>
      <c r="H3" t="s">
        <v>273</v>
      </c>
      <c r="I3" t="s">
        <v>256</v>
      </c>
    </row>
    <row r="4" spans="1:9" x14ac:dyDescent="0.25">
      <c r="A4" s="988" t="s">
        <v>251</v>
      </c>
      <c r="B4" s="571"/>
      <c r="C4" s="571"/>
      <c r="D4" s="571"/>
      <c r="E4" s="571"/>
      <c r="F4" s="571">
        <v>754</v>
      </c>
      <c r="G4" s="571">
        <v>1184</v>
      </c>
      <c r="H4" s="571">
        <v>3970</v>
      </c>
      <c r="I4" s="571">
        <v>5908</v>
      </c>
    </row>
    <row r="5" spans="1:9" x14ac:dyDescent="0.25">
      <c r="A5" s="573" t="s">
        <v>31</v>
      </c>
      <c r="B5" s="571"/>
      <c r="C5" s="571"/>
      <c r="D5" s="571"/>
      <c r="E5" s="571"/>
      <c r="F5" s="571">
        <v>15</v>
      </c>
      <c r="G5" s="571">
        <v>35</v>
      </c>
      <c r="H5" s="571">
        <v>103</v>
      </c>
      <c r="I5" s="571">
        <v>153</v>
      </c>
    </row>
    <row r="6" spans="1:9" x14ac:dyDescent="0.25">
      <c r="A6" s="573" t="s">
        <v>32</v>
      </c>
      <c r="B6" s="571"/>
      <c r="C6" s="571"/>
      <c r="D6" s="571"/>
      <c r="E6" s="571"/>
      <c r="F6" s="571">
        <v>5</v>
      </c>
      <c r="G6" s="571">
        <v>5</v>
      </c>
      <c r="H6" s="571">
        <v>20</v>
      </c>
      <c r="I6" s="571">
        <v>30</v>
      </c>
    </row>
    <row r="7" spans="1:9" x14ac:dyDescent="0.25">
      <c r="A7" s="573" t="s">
        <v>286</v>
      </c>
      <c r="B7" s="571"/>
      <c r="C7" s="571"/>
      <c r="D7" s="571"/>
      <c r="E7" s="571"/>
      <c r="F7" s="571">
        <v>377</v>
      </c>
      <c r="G7" s="571">
        <v>592</v>
      </c>
      <c r="H7" s="571">
        <v>1985</v>
      </c>
      <c r="I7" s="571">
        <v>2954</v>
      </c>
    </row>
    <row r="8" spans="1:9" x14ac:dyDescent="0.25">
      <c r="A8" s="573" t="s">
        <v>33</v>
      </c>
      <c r="B8" s="571"/>
      <c r="C8" s="571"/>
      <c r="D8" s="571"/>
      <c r="E8" s="571"/>
      <c r="F8" s="571">
        <v>5</v>
      </c>
      <c r="G8" s="571">
        <v>5</v>
      </c>
      <c r="H8" s="571">
        <v>18</v>
      </c>
      <c r="I8" s="571">
        <v>28</v>
      </c>
    </row>
    <row r="9" spans="1:9" x14ac:dyDescent="0.25">
      <c r="A9" s="573" t="s">
        <v>34</v>
      </c>
      <c r="B9" s="571"/>
      <c r="C9" s="571"/>
      <c r="D9" s="571"/>
      <c r="E9" s="571"/>
      <c r="F9" s="571">
        <v>10</v>
      </c>
      <c r="G9" s="571">
        <v>11</v>
      </c>
      <c r="H9" s="571">
        <v>33</v>
      </c>
      <c r="I9" s="571">
        <v>54</v>
      </c>
    </row>
    <row r="10" spans="1:9" x14ac:dyDescent="0.25">
      <c r="A10" s="573" t="s">
        <v>262</v>
      </c>
      <c r="B10" s="571"/>
      <c r="C10" s="571"/>
      <c r="D10" s="571"/>
      <c r="E10" s="571"/>
      <c r="F10" s="571">
        <v>35</v>
      </c>
      <c r="G10" s="571">
        <v>59</v>
      </c>
      <c r="H10" s="571">
        <v>203</v>
      </c>
      <c r="I10" s="571">
        <v>297</v>
      </c>
    </row>
    <row r="11" spans="1:9" x14ac:dyDescent="0.25">
      <c r="A11" s="573" t="s">
        <v>35</v>
      </c>
      <c r="B11" s="571"/>
      <c r="C11" s="571"/>
      <c r="D11" s="571"/>
      <c r="E11" s="571"/>
      <c r="F11" s="571">
        <v>5</v>
      </c>
      <c r="G11" s="571">
        <v>5</v>
      </c>
      <c r="H11" s="571">
        <v>15</v>
      </c>
      <c r="I11" s="571">
        <v>25</v>
      </c>
    </row>
    <row r="12" spans="1:9" x14ac:dyDescent="0.25">
      <c r="A12" s="573" t="s">
        <v>36</v>
      </c>
      <c r="B12" s="571"/>
      <c r="C12" s="571"/>
      <c r="D12" s="571"/>
      <c r="E12" s="571"/>
      <c r="F12" s="571">
        <v>5</v>
      </c>
      <c r="G12" s="571">
        <v>10</v>
      </c>
      <c r="H12" s="571">
        <v>38</v>
      </c>
      <c r="I12" s="571">
        <v>53</v>
      </c>
    </row>
    <row r="13" spans="1:9" x14ac:dyDescent="0.25">
      <c r="A13" s="573" t="s">
        <v>37</v>
      </c>
      <c r="B13" s="571"/>
      <c r="C13" s="571"/>
      <c r="D13" s="571"/>
      <c r="E13" s="571"/>
      <c r="F13" s="571">
        <v>20</v>
      </c>
      <c r="G13" s="571">
        <v>35</v>
      </c>
      <c r="H13" s="571">
        <v>122</v>
      </c>
      <c r="I13" s="571">
        <v>177</v>
      </c>
    </row>
    <row r="14" spans="1:9" x14ac:dyDescent="0.25">
      <c r="A14" s="573" t="s">
        <v>38</v>
      </c>
      <c r="B14" s="571"/>
      <c r="C14" s="571"/>
      <c r="D14" s="571"/>
      <c r="E14" s="571"/>
      <c r="F14" s="571">
        <v>5</v>
      </c>
      <c r="G14" s="571">
        <v>10</v>
      </c>
      <c r="H14" s="571">
        <v>32</v>
      </c>
      <c r="I14" s="571">
        <v>47</v>
      </c>
    </row>
    <row r="15" spans="1:9" x14ac:dyDescent="0.25">
      <c r="A15" s="573" t="s">
        <v>39</v>
      </c>
      <c r="B15" s="571"/>
      <c r="C15" s="571"/>
      <c r="D15" s="571"/>
      <c r="E15" s="571"/>
      <c r="F15" s="571">
        <v>16</v>
      </c>
      <c r="G15" s="571">
        <v>15</v>
      </c>
      <c r="H15" s="571">
        <v>47</v>
      </c>
      <c r="I15" s="571">
        <v>78</v>
      </c>
    </row>
    <row r="16" spans="1:9" x14ac:dyDescent="0.25">
      <c r="A16" s="573" t="s">
        <v>40</v>
      </c>
      <c r="B16" s="571"/>
      <c r="C16" s="571"/>
      <c r="D16" s="571"/>
      <c r="E16" s="571"/>
      <c r="F16" s="571">
        <v>5</v>
      </c>
      <c r="G16" s="571">
        <v>5</v>
      </c>
      <c r="H16" s="571">
        <v>14</v>
      </c>
      <c r="I16" s="571">
        <v>24</v>
      </c>
    </row>
    <row r="17" spans="1:9" x14ac:dyDescent="0.25">
      <c r="A17" s="573" t="s">
        <v>41</v>
      </c>
      <c r="B17" s="571"/>
      <c r="C17" s="571"/>
      <c r="D17" s="571"/>
      <c r="E17" s="571"/>
      <c r="F17" s="571">
        <v>11</v>
      </c>
      <c r="G17" s="571">
        <v>10</v>
      </c>
      <c r="H17" s="571">
        <v>31</v>
      </c>
      <c r="I17" s="571">
        <v>52</v>
      </c>
    </row>
    <row r="18" spans="1:9" x14ac:dyDescent="0.25">
      <c r="A18" s="573" t="s">
        <v>42</v>
      </c>
      <c r="B18" s="571"/>
      <c r="C18" s="571"/>
      <c r="D18" s="571"/>
      <c r="E18" s="571"/>
      <c r="F18" s="571">
        <v>15</v>
      </c>
      <c r="G18" s="571">
        <v>20</v>
      </c>
      <c r="H18" s="571">
        <v>53</v>
      </c>
      <c r="I18" s="571">
        <v>88</v>
      </c>
    </row>
    <row r="19" spans="1:9" x14ac:dyDescent="0.25">
      <c r="A19" s="573" t="s">
        <v>43</v>
      </c>
      <c r="B19" s="571"/>
      <c r="C19" s="571"/>
      <c r="D19" s="571"/>
      <c r="E19" s="571"/>
      <c r="F19" s="571">
        <v>27</v>
      </c>
      <c r="G19" s="571">
        <v>48</v>
      </c>
      <c r="H19" s="571">
        <v>199</v>
      </c>
      <c r="I19" s="571">
        <v>274</v>
      </c>
    </row>
    <row r="20" spans="1:9" x14ac:dyDescent="0.25">
      <c r="A20" s="573" t="s">
        <v>124</v>
      </c>
      <c r="B20" s="571"/>
      <c r="C20" s="571"/>
      <c r="D20" s="571"/>
      <c r="E20" s="571"/>
      <c r="F20" s="571">
        <v>56</v>
      </c>
      <c r="G20" s="571">
        <v>110</v>
      </c>
      <c r="H20" s="571">
        <v>349</v>
      </c>
      <c r="I20" s="571">
        <v>515</v>
      </c>
    </row>
    <row r="21" spans="1:9" x14ac:dyDescent="0.25">
      <c r="A21" s="573" t="s">
        <v>44</v>
      </c>
      <c r="B21" s="571"/>
      <c r="C21" s="571"/>
      <c r="D21" s="571"/>
      <c r="E21" s="571"/>
      <c r="F21" s="571">
        <v>5</v>
      </c>
      <c r="G21" s="571">
        <v>15</v>
      </c>
      <c r="H21" s="571">
        <v>50</v>
      </c>
      <c r="I21" s="571">
        <v>70</v>
      </c>
    </row>
    <row r="22" spans="1:9" x14ac:dyDescent="0.25">
      <c r="A22" s="573" t="s">
        <v>45</v>
      </c>
      <c r="B22" s="571"/>
      <c r="C22" s="571"/>
      <c r="D22" s="571"/>
      <c r="E22" s="571"/>
      <c r="F22" s="571">
        <v>10</v>
      </c>
      <c r="G22" s="571">
        <v>15</v>
      </c>
      <c r="H22" s="571">
        <v>47</v>
      </c>
      <c r="I22" s="571">
        <v>72</v>
      </c>
    </row>
    <row r="23" spans="1:9" x14ac:dyDescent="0.25">
      <c r="A23" s="573" t="s">
        <v>46</v>
      </c>
      <c r="B23" s="571"/>
      <c r="C23" s="571"/>
      <c r="D23" s="571"/>
      <c r="E23" s="571"/>
      <c r="F23" s="571">
        <v>5</v>
      </c>
      <c r="G23" s="571">
        <v>4</v>
      </c>
      <c r="H23" s="571">
        <v>17</v>
      </c>
      <c r="I23" s="571">
        <v>26</v>
      </c>
    </row>
    <row r="24" spans="1:9" x14ac:dyDescent="0.25">
      <c r="A24" s="573" t="s">
        <v>47</v>
      </c>
      <c r="B24" s="571"/>
      <c r="C24" s="571"/>
      <c r="D24" s="571"/>
      <c r="E24" s="571"/>
      <c r="F24" s="571">
        <v>5</v>
      </c>
      <c r="G24" s="571">
        <v>5</v>
      </c>
      <c r="H24" s="571">
        <v>20</v>
      </c>
      <c r="I24" s="571">
        <v>30</v>
      </c>
    </row>
    <row r="25" spans="1:9" x14ac:dyDescent="0.25">
      <c r="A25" s="573" t="s">
        <v>49</v>
      </c>
      <c r="B25" s="571"/>
      <c r="C25" s="571"/>
      <c r="D25" s="571"/>
      <c r="E25" s="571"/>
      <c r="F25" s="571">
        <v>16</v>
      </c>
      <c r="G25" s="571">
        <v>15</v>
      </c>
      <c r="H25" s="571">
        <v>45</v>
      </c>
      <c r="I25" s="571">
        <v>76</v>
      </c>
    </row>
    <row r="26" spans="1:9" x14ac:dyDescent="0.25">
      <c r="A26" s="573" t="s">
        <v>50</v>
      </c>
      <c r="B26" s="571"/>
      <c r="C26" s="571"/>
      <c r="D26" s="571"/>
      <c r="E26" s="571"/>
      <c r="F26" s="571">
        <v>20</v>
      </c>
      <c r="G26" s="571">
        <v>35</v>
      </c>
      <c r="H26" s="571">
        <v>111</v>
      </c>
      <c r="I26" s="571">
        <v>166</v>
      </c>
    </row>
    <row r="27" spans="1:9" x14ac:dyDescent="0.25">
      <c r="A27" s="573" t="s">
        <v>52</v>
      </c>
      <c r="B27" s="571"/>
      <c r="C27" s="571"/>
      <c r="D27" s="571"/>
      <c r="E27" s="571"/>
      <c r="F27" s="571">
        <v>5</v>
      </c>
      <c r="G27" s="571">
        <v>10</v>
      </c>
      <c r="H27" s="571">
        <v>54</v>
      </c>
      <c r="I27" s="571">
        <v>69</v>
      </c>
    </row>
    <row r="28" spans="1:9" x14ac:dyDescent="0.25">
      <c r="A28" s="573" t="s">
        <v>53</v>
      </c>
      <c r="B28" s="571"/>
      <c r="C28" s="571"/>
      <c r="D28" s="571"/>
      <c r="E28" s="571"/>
      <c r="F28" s="571">
        <v>16</v>
      </c>
      <c r="G28" s="571">
        <v>18</v>
      </c>
      <c r="H28" s="571">
        <v>65</v>
      </c>
      <c r="I28" s="571">
        <v>99</v>
      </c>
    </row>
    <row r="29" spans="1:9" x14ac:dyDescent="0.25">
      <c r="A29" s="573" t="s">
        <v>54</v>
      </c>
      <c r="B29" s="571"/>
      <c r="C29" s="571"/>
      <c r="D29" s="571"/>
      <c r="E29" s="571"/>
      <c r="F29" s="571">
        <v>10</v>
      </c>
      <c r="G29" s="571">
        <v>10</v>
      </c>
      <c r="H29" s="571">
        <v>36</v>
      </c>
      <c r="I29" s="571">
        <v>56</v>
      </c>
    </row>
    <row r="30" spans="1:9" x14ac:dyDescent="0.25">
      <c r="A30" s="573" t="s">
        <v>56</v>
      </c>
      <c r="B30" s="571"/>
      <c r="C30" s="571"/>
      <c r="D30" s="571"/>
      <c r="E30" s="571"/>
      <c r="F30" s="571">
        <v>5</v>
      </c>
      <c r="G30" s="571">
        <v>11</v>
      </c>
      <c r="H30" s="571">
        <v>34</v>
      </c>
      <c r="I30" s="571">
        <v>50</v>
      </c>
    </row>
    <row r="31" spans="1:9" x14ac:dyDescent="0.25">
      <c r="A31" s="573" t="s">
        <v>57</v>
      </c>
      <c r="B31" s="571"/>
      <c r="C31" s="571"/>
      <c r="D31" s="571"/>
      <c r="E31" s="571"/>
      <c r="F31" s="571">
        <v>20</v>
      </c>
      <c r="G31" s="571">
        <v>36</v>
      </c>
      <c r="H31" s="571">
        <v>111</v>
      </c>
      <c r="I31" s="571">
        <v>167</v>
      </c>
    </row>
    <row r="32" spans="1:9" x14ac:dyDescent="0.25">
      <c r="A32" s="573" t="s">
        <v>58</v>
      </c>
      <c r="B32" s="571"/>
      <c r="C32" s="571"/>
      <c r="D32" s="571"/>
      <c r="E32" s="571"/>
      <c r="F32" s="571">
        <v>5</v>
      </c>
      <c r="G32" s="571">
        <v>10</v>
      </c>
      <c r="H32" s="571">
        <v>34</v>
      </c>
      <c r="I32" s="571">
        <v>49</v>
      </c>
    </row>
    <row r="33" spans="1:9" x14ac:dyDescent="0.25">
      <c r="A33" s="573" t="s">
        <v>59</v>
      </c>
      <c r="B33" s="571"/>
      <c r="C33" s="571"/>
      <c r="D33" s="571"/>
      <c r="E33" s="571"/>
      <c r="F33" s="571">
        <v>10</v>
      </c>
      <c r="G33" s="571">
        <v>15</v>
      </c>
      <c r="H33" s="571">
        <v>48</v>
      </c>
      <c r="I33" s="571">
        <v>73</v>
      </c>
    </row>
    <row r="34" spans="1:9" x14ac:dyDescent="0.25">
      <c r="A34" s="573" t="s">
        <v>60</v>
      </c>
      <c r="B34" s="571"/>
      <c r="C34" s="571"/>
      <c r="D34" s="571"/>
      <c r="E34" s="571"/>
      <c r="F34" s="571">
        <v>10</v>
      </c>
      <c r="G34" s="571">
        <v>10</v>
      </c>
      <c r="H34" s="571">
        <v>36</v>
      </c>
      <c r="I34" s="571">
        <v>56</v>
      </c>
    </row>
    <row r="35" spans="1:9" x14ac:dyDescent="0.25">
      <c r="A35" s="988" t="s">
        <v>252</v>
      </c>
      <c r="B35" s="571"/>
      <c r="C35" s="571">
        <v>32</v>
      </c>
      <c r="D35" s="571">
        <v>98</v>
      </c>
      <c r="E35" s="571">
        <v>230</v>
      </c>
      <c r="F35" s="571">
        <v>248</v>
      </c>
      <c r="G35" s="571">
        <v>108</v>
      </c>
      <c r="H35" s="571">
        <v>58</v>
      </c>
      <c r="I35" s="571">
        <v>773</v>
      </c>
    </row>
    <row r="36" spans="1:9" x14ac:dyDescent="0.25">
      <c r="A36" s="573" t="s">
        <v>31</v>
      </c>
      <c r="B36" s="571"/>
      <c r="C36" s="571">
        <v>1</v>
      </c>
      <c r="D36" s="571">
        <v>2</v>
      </c>
      <c r="E36" s="571">
        <v>4</v>
      </c>
      <c r="F36" s="571">
        <v>6</v>
      </c>
      <c r="G36" s="571">
        <v>2</v>
      </c>
      <c r="H36" s="571">
        <v>2</v>
      </c>
      <c r="I36" s="571">
        <v>17</v>
      </c>
    </row>
    <row r="37" spans="1:9" x14ac:dyDescent="0.25">
      <c r="A37" s="573" t="s">
        <v>64</v>
      </c>
      <c r="B37" s="571"/>
      <c r="C37" s="571">
        <v>1</v>
      </c>
      <c r="D37" s="571">
        <v>2</v>
      </c>
      <c r="E37" s="571">
        <v>8</v>
      </c>
      <c r="F37" s="571">
        <v>8</v>
      </c>
      <c r="G37" s="571">
        <v>6</v>
      </c>
      <c r="H37" s="571"/>
      <c r="I37" s="571">
        <v>25</v>
      </c>
    </row>
    <row r="38" spans="1:9" x14ac:dyDescent="0.25">
      <c r="A38" s="573" t="s">
        <v>286</v>
      </c>
      <c r="B38" s="571"/>
      <c r="C38" s="571">
        <v>16</v>
      </c>
      <c r="D38" s="571">
        <v>49</v>
      </c>
      <c r="E38" s="571">
        <v>115</v>
      </c>
      <c r="F38" s="571">
        <v>124</v>
      </c>
      <c r="G38" s="571">
        <v>54</v>
      </c>
      <c r="H38" s="571">
        <v>29</v>
      </c>
      <c r="I38" s="571">
        <v>387</v>
      </c>
    </row>
    <row r="39" spans="1:9" x14ac:dyDescent="0.25">
      <c r="A39" s="573" t="s">
        <v>65</v>
      </c>
      <c r="B39" s="571"/>
      <c r="C39" s="571">
        <v>1</v>
      </c>
      <c r="D39" s="571">
        <v>3</v>
      </c>
      <c r="E39" s="571">
        <v>8</v>
      </c>
      <c r="F39" s="571">
        <v>6</v>
      </c>
      <c r="G39" s="571">
        <v>6</v>
      </c>
      <c r="H39" s="571">
        <v>2</v>
      </c>
      <c r="I39" s="571">
        <v>26</v>
      </c>
    </row>
    <row r="40" spans="1:9" x14ac:dyDescent="0.25">
      <c r="A40" s="573" t="s">
        <v>36</v>
      </c>
      <c r="B40" s="571"/>
      <c r="C40" s="571">
        <v>1</v>
      </c>
      <c r="D40" s="571">
        <v>2</v>
      </c>
      <c r="E40" s="571">
        <v>6</v>
      </c>
      <c r="F40" s="571">
        <v>7</v>
      </c>
      <c r="G40" s="571">
        <v>4</v>
      </c>
      <c r="H40" s="571">
        <v>2</v>
      </c>
      <c r="I40" s="571">
        <v>22</v>
      </c>
    </row>
    <row r="41" spans="1:9" x14ac:dyDescent="0.25">
      <c r="A41" s="573" t="s">
        <v>67</v>
      </c>
      <c r="B41" s="571"/>
      <c r="C41" s="571">
        <v>1</v>
      </c>
      <c r="D41" s="571">
        <v>4</v>
      </c>
      <c r="E41" s="571">
        <v>8</v>
      </c>
      <c r="F41" s="571">
        <v>11</v>
      </c>
      <c r="G41" s="571">
        <v>3</v>
      </c>
      <c r="H41" s="571">
        <v>2</v>
      </c>
      <c r="I41" s="571">
        <v>29</v>
      </c>
    </row>
    <row r="42" spans="1:9" x14ac:dyDescent="0.25">
      <c r="A42" s="573" t="s">
        <v>68</v>
      </c>
      <c r="B42" s="571"/>
      <c r="C42" s="571">
        <v>1</v>
      </c>
      <c r="D42" s="571">
        <v>3</v>
      </c>
      <c r="E42" s="571">
        <v>9</v>
      </c>
      <c r="F42" s="571">
        <v>8</v>
      </c>
      <c r="G42" s="571">
        <v>2</v>
      </c>
      <c r="H42" s="571">
        <v>2</v>
      </c>
      <c r="I42" s="571">
        <v>25</v>
      </c>
    </row>
    <row r="43" spans="1:9" x14ac:dyDescent="0.25">
      <c r="A43" s="573" t="s">
        <v>69</v>
      </c>
      <c r="B43" s="571"/>
      <c r="C43" s="571">
        <v>1</v>
      </c>
      <c r="D43" s="571">
        <v>3</v>
      </c>
      <c r="E43" s="571">
        <v>7</v>
      </c>
      <c r="F43" s="571">
        <v>9</v>
      </c>
      <c r="G43" s="571">
        <v>2</v>
      </c>
      <c r="H43" s="571">
        <v>3</v>
      </c>
      <c r="I43" s="571">
        <v>25</v>
      </c>
    </row>
    <row r="44" spans="1:9" x14ac:dyDescent="0.25">
      <c r="A44" s="573" t="s">
        <v>70</v>
      </c>
      <c r="B44" s="571"/>
      <c r="C44" s="571">
        <v>1</v>
      </c>
      <c r="D44" s="571">
        <v>4</v>
      </c>
      <c r="E44" s="571">
        <v>4</v>
      </c>
      <c r="F44" s="571">
        <v>3</v>
      </c>
      <c r="G44" s="571"/>
      <c r="H44" s="571">
        <v>2</v>
      </c>
      <c r="I44" s="571">
        <v>14</v>
      </c>
    </row>
    <row r="45" spans="1:9" x14ac:dyDescent="0.25">
      <c r="A45" s="573" t="s">
        <v>178</v>
      </c>
      <c r="B45" s="571"/>
      <c r="C45" s="571">
        <v>1</v>
      </c>
      <c r="D45" s="571">
        <v>5</v>
      </c>
      <c r="E45" s="571">
        <v>4</v>
      </c>
      <c r="F45" s="571">
        <v>12</v>
      </c>
      <c r="G45" s="571">
        <v>5</v>
      </c>
      <c r="H45" s="571">
        <v>2</v>
      </c>
      <c r="I45" s="571">
        <v>30</v>
      </c>
    </row>
    <row r="46" spans="1:9" x14ac:dyDescent="0.25">
      <c r="A46" s="573" t="s">
        <v>71</v>
      </c>
      <c r="B46" s="571"/>
      <c r="C46" s="571">
        <v>1</v>
      </c>
      <c r="D46" s="571">
        <v>2</v>
      </c>
      <c r="E46" s="571">
        <v>6</v>
      </c>
      <c r="F46" s="571">
        <v>6</v>
      </c>
      <c r="G46" s="571">
        <v>3</v>
      </c>
      <c r="H46" s="571">
        <v>2</v>
      </c>
      <c r="I46" s="571">
        <v>20</v>
      </c>
    </row>
    <row r="47" spans="1:9" x14ac:dyDescent="0.25">
      <c r="A47" s="573" t="s">
        <v>43</v>
      </c>
      <c r="B47" s="571"/>
      <c r="C47" s="571"/>
      <c r="D47" s="571">
        <v>2</v>
      </c>
      <c r="E47" s="571">
        <v>6</v>
      </c>
      <c r="F47" s="571">
        <v>6</v>
      </c>
      <c r="G47" s="571"/>
      <c r="H47" s="571">
        <v>4</v>
      </c>
      <c r="I47" s="571">
        <v>18</v>
      </c>
    </row>
    <row r="48" spans="1:9" x14ac:dyDescent="0.25">
      <c r="A48" s="573" t="s">
        <v>124</v>
      </c>
      <c r="B48" s="571"/>
      <c r="C48" s="571">
        <v>1</v>
      </c>
      <c r="D48" s="571">
        <v>4</v>
      </c>
      <c r="E48" s="571">
        <v>9</v>
      </c>
      <c r="F48" s="571">
        <v>7</v>
      </c>
      <c r="G48" s="571">
        <v>2</v>
      </c>
      <c r="H48" s="571">
        <v>2</v>
      </c>
      <c r="I48" s="571">
        <v>25</v>
      </c>
    </row>
    <row r="49" spans="1:9" x14ac:dyDescent="0.25">
      <c r="A49" s="573" t="s">
        <v>72</v>
      </c>
      <c r="B49" s="571"/>
      <c r="C49" s="571">
        <v>1</v>
      </c>
      <c r="D49" s="571">
        <v>4</v>
      </c>
      <c r="E49" s="571">
        <v>14</v>
      </c>
      <c r="F49" s="571">
        <v>16</v>
      </c>
      <c r="G49" s="571">
        <v>9</v>
      </c>
      <c r="H49" s="571">
        <v>1</v>
      </c>
      <c r="I49" s="571">
        <v>43</v>
      </c>
    </row>
    <row r="50" spans="1:9" x14ac:dyDescent="0.25">
      <c r="A50" s="573" t="s">
        <v>50</v>
      </c>
      <c r="B50" s="571"/>
      <c r="C50" s="571">
        <v>1</v>
      </c>
      <c r="D50" s="571">
        <v>2</v>
      </c>
      <c r="E50" s="571">
        <v>5</v>
      </c>
      <c r="F50" s="571">
        <v>6</v>
      </c>
      <c r="G50" s="571">
        <v>2</v>
      </c>
      <c r="H50" s="571">
        <v>1</v>
      </c>
      <c r="I50" s="571">
        <v>17</v>
      </c>
    </row>
    <row r="51" spans="1:9" x14ac:dyDescent="0.25">
      <c r="A51" s="573" t="s">
        <v>57</v>
      </c>
      <c r="B51" s="571"/>
      <c r="C51" s="571">
        <v>1</v>
      </c>
      <c r="D51" s="571">
        <v>2</v>
      </c>
      <c r="E51" s="571">
        <v>6</v>
      </c>
      <c r="F51" s="571">
        <v>4</v>
      </c>
      <c r="G51" s="571">
        <v>2</v>
      </c>
      <c r="H51" s="571">
        <v>1</v>
      </c>
      <c r="I51" s="571">
        <v>16</v>
      </c>
    </row>
    <row r="52" spans="1:9" x14ac:dyDescent="0.25">
      <c r="A52" s="573" t="s">
        <v>73</v>
      </c>
      <c r="B52" s="571"/>
      <c r="C52" s="571">
        <v>1</v>
      </c>
      <c r="D52" s="571">
        <v>2</v>
      </c>
      <c r="E52" s="571">
        <v>6</v>
      </c>
      <c r="F52" s="571">
        <v>5</v>
      </c>
      <c r="G52" s="571">
        <v>3</v>
      </c>
      <c r="H52" s="571">
        <v>1</v>
      </c>
      <c r="I52" s="571">
        <v>18</v>
      </c>
    </row>
    <row r="53" spans="1:9" x14ac:dyDescent="0.25">
      <c r="A53" s="573" t="s">
        <v>74</v>
      </c>
      <c r="B53" s="571"/>
      <c r="C53" s="571">
        <v>1</v>
      </c>
      <c r="D53" s="571">
        <v>3</v>
      </c>
      <c r="E53" s="571">
        <v>5</v>
      </c>
      <c r="F53" s="571">
        <v>4</v>
      </c>
      <c r="G53" s="571">
        <v>3</v>
      </c>
      <c r="H53" s="571"/>
      <c r="I53" s="571">
        <v>16</v>
      </c>
    </row>
    <row r="54" spans="1:9" x14ac:dyDescent="0.25">
      <c r="A54" s="988" t="s">
        <v>253</v>
      </c>
      <c r="B54" s="571"/>
      <c r="C54" s="571">
        <v>6</v>
      </c>
      <c r="D54" s="571">
        <v>28</v>
      </c>
      <c r="E54" s="571">
        <v>48</v>
      </c>
      <c r="F54" s="571">
        <v>128</v>
      </c>
      <c r="G54" s="571">
        <v>82</v>
      </c>
      <c r="H54" s="571"/>
      <c r="I54" s="571">
        <v>292</v>
      </c>
    </row>
    <row r="55" spans="1:9" x14ac:dyDescent="0.25">
      <c r="A55" s="573" t="s">
        <v>286</v>
      </c>
      <c r="B55" s="571"/>
      <c r="C55" s="571">
        <v>3</v>
      </c>
      <c r="D55" s="571">
        <v>14</v>
      </c>
      <c r="E55" s="571">
        <v>24</v>
      </c>
      <c r="F55" s="571">
        <v>64</v>
      </c>
      <c r="G55" s="571">
        <v>41</v>
      </c>
      <c r="H55" s="571"/>
      <c r="I55" s="571">
        <v>146</v>
      </c>
    </row>
    <row r="56" spans="1:9" x14ac:dyDescent="0.25">
      <c r="A56" s="573" t="s">
        <v>177</v>
      </c>
      <c r="B56" s="571"/>
      <c r="C56" s="571">
        <v>1</v>
      </c>
      <c r="D56" s="571">
        <v>5</v>
      </c>
      <c r="E56" s="571">
        <v>5</v>
      </c>
      <c r="F56" s="571">
        <v>18</v>
      </c>
      <c r="G56" s="571">
        <v>8</v>
      </c>
      <c r="H56" s="571"/>
      <c r="I56" s="571">
        <v>37</v>
      </c>
    </row>
    <row r="57" spans="1:9" x14ac:dyDescent="0.25">
      <c r="A57" s="573" t="s">
        <v>175</v>
      </c>
      <c r="B57" s="571"/>
      <c r="C57" s="571">
        <v>1</v>
      </c>
      <c r="D57" s="571">
        <v>4</v>
      </c>
      <c r="E57" s="571">
        <v>7</v>
      </c>
      <c r="F57" s="571">
        <v>11</v>
      </c>
      <c r="G57" s="571">
        <v>7</v>
      </c>
      <c r="H57" s="571"/>
      <c r="I57" s="571">
        <v>30</v>
      </c>
    </row>
    <row r="58" spans="1:9" x14ac:dyDescent="0.25">
      <c r="A58" s="573" t="s">
        <v>176</v>
      </c>
      <c r="B58" s="571"/>
      <c r="C58" s="571">
        <v>1</v>
      </c>
      <c r="D58" s="571">
        <v>5</v>
      </c>
      <c r="E58" s="571">
        <v>12</v>
      </c>
      <c r="F58" s="571">
        <v>35</v>
      </c>
      <c r="G58" s="571">
        <v>26</v>
      </c>
      <c r="H58" s="571"/>
      <c r="I58" s="571">
        <v>79</v>
      </c>
    </row>
    <row r="59" spans="1:9" x14ac:dyDescent="0.25">
      <c r="A59" s="988" t="s">
        <v>254</v>
      </c>
      <c r="B59" s="571">
        <v>4</v>
      </c>
      <c r="C59" s="571">
        <v>14</v>
      </c>
      <c r="D59" s="571">
        <v>17</v>
      </c>
      <c r="E59" s="571">
        <v>8</v>
      </c>
      <c r="F59" s="571">
        <v>46</v>
      </c>
      <c r="G59" s="571"/>
      <c r="H59" s="571">
        <v>60</v>
      </c>
      <c r="I59" s="571">
        <v>149</v>
      </c>
    </row>
    <row r="60" spans="1:9" x14ac:dyDescent="0.25">
      <c r="A60" s="573" t="s">
        <v>263</v>
      </c>
      <c r="B60" s="571">
        <v>4</v>
      </c>
      <c r="C60" s="571">
        <v>14</v>
      </c>
      <c r="D60" s="571">
        <v>17</v>
      </c>
      <c r="E60" s="571">
        <v>8</v>
      </c>
      <c r="F60" s="571">
        <v>46</v>
      </c>
      <c r="G60" s="571"/>
      <c r="H60" s="571">
        <v>60</v>
      </c>
      <c r="I60" s="571">
        <v>149</v>
      </c>
    </row>
    <row r="61" spans="1:9" x14ac:dyDescent="0.25">
      <c r="A61" s="988" t="s">
        <v>26</v>
      </c>
      <c r="B61" s="571">
        <v>4</v>
      </c>
      <c r="C61" s="571">
        <v>33</v>
      </c>
      <c r="D61" s="571">
        <v>80</v>
      </c>
      <c r="E61" s="571">
        <v>147</v>
      </c>
      <c r="F61" s="571">
        <v>611</v>
      </c>
      <c r="G61" s="571">
        <v>687</v>
      </c>
      <c r="H61" s="571">
        <v>2074</v>
      </c>
      <c r="I61" s="571">
        <v>3636</v>
      </c>
    </row>
    <row r="62" spans="1:9" x14ac:dyDescent="0.25">
      <c r="A62" s="573" t="s">
        <v>263</v>
      </c>
      <c r="B62" s="571">
        <v>4</v>
      </c>
      <c r="C62" s="571">
        <v>33</v>
      </c>
      <c r="D62" s="571">
        <v>80</v>
      </c>
      <c r="E62" s="571">
        <v>147</v>
      </c>
      <c r="F62" s="571">
        <v>611</v>
      </c>
      <c r="G62" s="571">
        <v>687</v>
      </c>
      <c r="H62" s="571">
        <v>2074</v>
      </c>
      <c r="I62" s="571">
        <v>3636</v>
      </c>
    </row>
    <row r="63" spans="1:9" x14ac:dyDescent="0.25">
      <c r="A63" s="988" t="s">
        <v>255</v>
      </c>
      <c r="B63" s="571">
        <v>8</v>
      </c>
      <c r="C63" s="571">
        <v>85</v>
      </c>
      <c r="D63" s="571">
        <v>223</v>
      </c>
      <c r="E63" s="571">
        <v>433</v>
      </c>
      <c r="F63" s="571">
        <v>1787</v>
      </c>
      <c r="G63" s="571">
        <v>2061</v>
      </c>
      <c r="H63" s="571">
        <v>6162</v>
      </c>
      <c r="I63" s="571">
        <v>10758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39997558519241921"/>
    <pageSetUpPr fitToPage="1"/>
  </sheetPr>
  <dimension ref="A1:J52"/>
  <sheetViews>
    <sheetView showGridLines="0" workbookViewId="0">
      <pane ySplit="2" topLeftCell="A3" activePane="bottomLeft" state="frozen"/>
      <selection sqref="A1:C1"/>
      <selection pane="bottomLeft" sqref="A1:G1"/>
    </sheetView>
  </sheetViews>
  <sheetFormatPr defaultRowHeight="15" x14ac:dyDescent="0.25"/>
  <cols>
    <col min="1" max="1" width="17.42578125" customWidth="1"/>
    <col min="2" max="2" width="31.85546875" customWidth="1"/>
    <col min="3" max="5" width="11.85546875" customWidth="1"/>
    <col min="6" max="6" width="11.140625" customWidth="1"/>
  </cols>
  <sheetData>
    <row r="1" spans="1:7" ht="15.75" x14ac:dyDescent="0.25">
      <c r="A1" s="993" t="s">
        <v>523</v>
      </c>
      <c r="B1" s="993"/>
      <c r="C1" s="993"/>
      <c r="D1" s="993"/>
      <c r="E1" s="993"/>
      <c r="F1" s="993"/>
      <c r="G1" s="993"/>
    </row>
    <row r="2" spans="1:7" ht="15.75" x14ac:dyDescent="0.25">
      <c r="A2" s="790" t="s">
        <v>598</v>
      </c>
      <c r="C2" s="668"/>
      <c r="D2" s="668"/>
      <c r="E2" s="668"/>
      <c r="F2" s="668"/>
      <c r="G2" s="668"/>
    </row>
    <row r="3" spans="1:7" ht="15.75" x14ac:dyDescent="0.25">
      <c r="A3" t="s">
        <v>1063</v>
      </c>
      <c r="C3" s="668"/>
      <c r="D3" s="668"/>
      <c r="E3" s="668"/>
      <c r="F3" s="668"/>
      <c r="G3" s="668"/>
    </row>
    <row r="4" spans="1:7" ht="37.5" customHeight="1" x14ac:dyDescent="0.25">
      <c r="A4" s="684" t="s">
        <v>548</v>
      </c>
      <c r="B4" s="684"/>
      <c r="C4" s="684"/>
      <c r="D4" s="684"/>
      <c r="E4" s="684"/>
    </row>
    <row r="5" spans="1:7" ht="15" customHeight="1" x14ac:dyDescent="0.25">
      <c r="A5" t="s">
        <v>368</v>
      </c>
      <c r="B5" t="s">
        <v>780</v>
      </c>
      <c r="C5" s="684"/>
      <c r="D5" s="684"/>
      <c r="E5" s="684"/>
    </row>
    <row r="6" spans="1:7" ht="15" customHeight="1" x14ac:dyDescent="0.25">
      <c r="A6" t="s">
        <v>369</v>
      </c>
      <c r="B6" t="s">
        <v>371</v>
      </c>
      <c r="C6" s="684"/>
      <c r="D6" s="684"/>
      <c r="E6" s="684"/>
    </row>
    <row r="7" spans="1:7" ht="15" customHeight="1" x14ac:dyDescent="0.25">
      <c r="A7" t="s">
        <v>370</v>
      </c>
      <c r="B7" t="s">
        <v>372</v>
      </c>
      <c r="C7" s="684"/>
      <c r="D7" s="684"/>
      <c r="E7" s="684"/>
    </row>
    <row r="8" spans="1:7" ht="26.25" x14ac:dyDescent="0.25">
      <c r="B8" s="97" t="s">
        <v>222</v>
      </c>
      <c r="C8" s="98" t="s">
        <v>21</v>
      </c>
      <c r="D8" s="98" t="s">
        <v>22</v>
      </c>
      <c r="E8" s="98" t="s">
        <v>23</v>
      </c>
      <c r="F8" s="98" t="s">
        <v>26</v>
      </c>
    </row>
    <row r="9" spans="1:7" ht="15.75" thickBot="1" x14ac:dyDescent="0.3">
      <c r="B9" s="99" t="s">
        <v>536</v>
      </c>
      <c r="C9" s="464">
        <f>C44</f>
        <v>268</v>
      </c>
      <c r="D9" s="464">
        <f>D44</f>
        <v>479</v>
      </c>
      <c r="E9" s="464">
        <f>E44</f>
        <v>1864</v>
      </c>
      <c r="F9" s="464">
        <f>F44</f>
        <v>2611</v>
      </c>
      <c r="G9" s="367"/>
    </row>
    <row r="10" spans="1:7" x14ac:dyDescent="0.25">
      <c r="B10" s="65"/>
      <c r="C10" s="441"/>
      <c r="D10" s="441"/>
      <c r="E10" s="441"/>
      <c r="F10" s="441"/>
    </row>
    <row r="11" spans="1:7" x14ac:dyDescent="0.25">
      <c r="A11" s="53" t="s">
        <v>534</v>
      </c>
      <c r="B11" s="53" t="s">
        <v>30</v>
      </c>
      <c r="C11" s="442"/>
      <c r="D11" s="442"/>
      <c r="E11" s="442"/>
      <c r="F11" s="442"/>
    </row>
    <row r="12" spans="1:7" x14ac:dyDescent="0.25">
      <c r="A12" s="581" t="s">
        <v>306</v>
      </c>
      <c r="B12" s="582" t="s">
        <v>31</v>
      </c>
      <c r="C12" s="416">
        <f>IFERROR(GETPIVOTDATA((CONCATENATE("Sum of ", C$8)),h5b!$A$3,"ReportingLevel","1:LA","lvl",$B12),0)</f>
        <v>1</v>
      </c>
      <c r="D12" s="416">
        <f>IFERROR(GETPIVOTDATA((CONCATENATE("Sum of ", D$8)),h5b!$A$3,"ReportingLevel","1:LA","lvl",$B12),0)</f>
        <v>2</v>
      </c>
      <c r="E12" s="416">
        <f>IFERROR(GETPIVOTDATA((CONCATENATE("Sum of ", E$8)),h5b!$A$3,"ReportingLevel","1:LA","lvl",$B12),0)</f>
        <v>3</v>
      </c>
      <c r="F12" s="109">
        <f>IFERROR(GETPIVOTDATA((CONCATENATE("Sum of ", F$8)),h5b!$A$3,"ReportingLevel","1:LA","lvl",$B12),0)</f>
        <v>7</v>
      </c>
    </row>
    <row r="13" spans="1:7" x14ac:dyDescent="0.25">
      <c r="A13" s="110" t="s">
        <v>307</v>
      </c>
      <c r="B13" s="65" t="s">
        <v>32</v>
      </c>
      <c r="C13" s="119">
        <f>IFERROR(GETPIVOTDATA((CONCATENATE("Sum of ", C$8)),h5b!$A$3,"ReportingLevel","1:LA","lvl",$B13),0)</f>
        <v>24</v>
      </c>
      <c r="D13" s="119">
        <f>IFERROR(GETPIVOTDATA((CONCATENATE("Sum of ", D$8)),h5b!$A$3,"ReportingLevel","1:LA","lvl",$B13),0)</f>
        <v>62</v>
      </c>
      <c r="E13" s="119">
        <f>IFERROR(GETPIVOTDATA((CONCATENATE("Sum of ", E$8)),h5b!$A$3,"ReportingLevel","1:LA","lvl",$B13),0)</f>
        <v>170</v>
      </c>
      <c r="F13" s="109">
        <f>IFERROR(GETPIVOTDATA((CONCATENATE("Sum of ", F$8)),h5b!$A$3,"ReportingLevel","1:LA","lvl",$B13),0)</f>
        <v>256</v>
      </c>
    </row>
    <row r="14" spans="1:7" x14ac:dyDescent="0.25">
      <c r="A14" s="110" t="s">
        <v>313</v>
      </c>
      <c r="B14" s="65" t="s">
        <v>33</v>
      </c>
      <c r="C14" s="119">
        <f>IFERROR(GETPIVOTDATA((CONCATENATE("Sum of ", C$8)),h5b!$A$3,"ReportingLevel","1:LA","lvl",$B14),0)</f>
        <v>6</v>
      </c>
      <c r="D14" s="119">
        <f>IFERROR(GETPIVOTDATA((CONCATENATE("Sum of ", D$8)),h5b!$A$3,"ReportingLevel","1:LA","lvl",$B14),0)</f>
        <v>12</v>
      </c>
      <c r="E14" s="119">
        <f>IFERROR(GETPIVOTDATA((CONCATENATE("Sum of ", E$8)),h5b!$A$3,"ReportingLevel","1:LA","lvl",$B14),0)</f>
        <v>66</v>
      </c>
      <c r="F14" s="109">
        <f>IFERROR(GETPIVOTDATA((CONCATENATE("Sum of ", F$8)),h5b!$A$3,"ReportingLevel","1:LA","lvl",$B14),0)</f>
        <v>84</v>
      </c>
    </row>
    <row r="15" spans="1:7" x14ac:dyDescent="0.25">
      <c r="A15" s="110" t="s">
        <v>308</v>
      </c>
      <c r="B15" s="65" t="s">
        <v>34</v>
      </c>
      <c r="C15" s="119">
        <f>IFERROR(GETPIVOTDATA((CONCATENATE("Sum of ", C$8)),h5b!$A$3,"ReportingLevel","1:LA","lvl",$B15),0)</f>
        <v>14</v>
      </c>
      <c r="D15" s="119">
        <f>IFERROR(GETPIVOTDATA((CONCATENATE("Sum of ", D$8)),h5b!$A$3,"ReportingLevel","1:LA","lvl",$B15),0)</f>
        <v>23</v>
      </c>
      <c r="E15" s="119">
        <f>IFERROR(GETPIVOTDATA((CONCATENATE("Sum of ", E$8)),h5b!$A$3,"ReportingLevel","1:LA","lvl",$B15),0)</f>
        <v>128</v>
      </c>
      <c r="F15" s="109">
        <f>IFERROR(GETPIVOTDATA((CONCATENATE("Sum of ", F$8)),h5b!$A$3,"ReportingLevel","1:LA","lvl",$B15),0)</f>
        <v>165</v>
      </c>
    </row>
    <row r="16" spans="1:7" x14ac:dyDescent="0.25">
      <c r="A16" s="110" t="s">
        <v>309</v>
      </c>
      <c r="B16" s="65" t="s">
        <v>262</v>
      </c>
      <c r="C16" s="119">
        <f>IFERROR(GETPIVOTDATA((CONCATENATE("Sum of ", C$8)),h5b!$A$3,"ReportingLevel","1:LA","lvl",$B16),0)</f>
        <v>0</v>
      </c>
      <c r="D16" s="119">
        <f>IFERROR(GETPIVOTDATA((CONCATENATE("Sum of ", D$8)),h5b!$A$3,"ReportingLevel","1:LA","lvl",$B16),0)</f>
        <v>1</v>
      </c>
      <c r="E16" s="119">
        <f>IFERROR(GETPIVOTDATA((CONCATENATE("Sum of ", E$8)),h5b!$A$3,"ReportingLevel","1:LA","lvl",$B16),0)</f>
        <v>4</v>
      </c>
      <c r="F16" s="109">
        <f>IFERROR(GETPIVOTDATA((CONCATENATE("Sum of ", F$8)),h5b!$A$3,"ReportingLevel","1:LA","lvl",$B16),0)</f>
        <v>6</v>
      </c>
    </row>
    <row r="17" spans="1:6" x14ac:dyDescent="0.25">
      <c r="A17" s="110" t="s">
        <v>287</v>
      </c>
      <c r="B17" s="65" t="s">
        <v>35</v>
      </c>
      <c r="C17" s="119">
        <f>IFERROR(GETPIVOTDATA((CONCATENATE("Sum of ", C$8)),h5b!$A$3,"ReportingLevel","1:LA","lvl",$B17),0)</f>
        <v>1</v>
      </c>
      <c r="D17" s="119">
        <f>IFERROR(GETPIVOTDATA((CONCATENATE("Sum of ", D$8)),h5b!$A$3,"ReportingLevel","1:LA","lvl",$B17),0)</f>
        <v>3</v>
      </c>
      <c r="E17" s="119">
        <f>IFERROR(GETPIVOTDATA((CONCATENATE("Sum of ", E$8)),h5b!$A$3,"ReportingLevel","1:LA","lvl",$B17),0)</f>
        <v>11</v>
      </c>
      <c r="F17" s="109">
        <f>IFERROR(GETPIVOTDATA((CONCATENATE("Sum of ", F$8)),h5b!$A$3,"ReportingLevel","1:LA","lvl",$B17),0)</f>
        <v>15</v>
      </c>
    </row>
    <row r="18" spans="1:6" x14ac:dyDescent="0.25">
      <c r="A18" s="110" t="s">
        <v>288</v>
      </c>
      <c r="B18" s="65" t="s">
        <v>36</v>
      </c>
      <c r="C18" s="119">
        <f>IFERROR(GETPIVOTDATA((CONCATENATE("Sum of ", C$8)),h5b!$A$3,"ReportingLevel","1:LA","lvl",$B18),0)</f>
        <v>16</v>
      </c>
      <c r="D18" s="119">
        <f>IFERROR(GETPIVOTDATA((CONCATENATE("Sum of ", D$8)),h5b!$A$3,"ReportingLevel","1:LA","lvl",$B18),0)</f>
        <v>31</v>
      </c>
      <c r="E18" s="119">
        <f>IFERROR(GETPIVOTDATA((CONCATENATE("Sum of ", E$8)),h5b!$A$3,"ReportingLevel","1:LA","lvl",$B18),0)</f>
        <v>127</v>
      </c>
      <c r="F18" s="109">
        <f>IFERROR(GETPIVOTDATA((CONCATENATE("Sum of ", F$8)),h5b!$A$3,"ReportingLevel","1:LA","lvl",$B18),0)</f>
        <v>174</v>
      </c>
    </row>
    <row r="19" spans="1:6" x14ac:dyDescent="0.25">
      <c r="A19" s="110" t="s">
        <v>314</v>
      </c>
      <c r="B19" s="65" t="s">
        <v>37</v>
      </c>
      <c r="C19" s="119">
        <f>IFERROR(GETPIVOTDATA((CONCATENATE("Sum of ", C$8)),h5b!$A$3,"ReportingLevel","1:LA","lvl",$B19),0)</f>
        <v>1</v>
      </c>
      <c r="D19" s="119">
        <f>IFERROR(GETPIVOTDATA((CONCATENATE("Sum of ", D$8)),h5b!$A$3,"ReportingLevel","1:LA","lvl",$B19),0)</f>
        <v>2</v>
      </c>
      <c r="E19" s="119">
        <f>IFERROR(GETPIVOTDATA((CONCATENATE("Sum of ", E$8)),h5b!$A$3,"ReportingLevel","1:LA","lvl",$B19),0)</f>
        <v>8</v>
      </c>
      <c r="F19" s="109">
        <f>IFERROR(GETPIVOTDATA((CONCATENATE("Sum of ", F$8)),h5b!$A$3,"ReportingLevel","1:LA","lvl",$B19),0)</f>
        <v>10</v>
      </c>
    </row>
    <row r="20" spans="1:6" x14ac:dyDescent="0.25">
      <c r="A20" s="110" t="s">
        <v>289</v>
      </c>
      <c r="B20" s="65" t="s">
        <v>38</v>
      </c>
      <c r="C20" s="119">
        <f>IFERROR(GETPIVOTDATA((CONCATENATE("Sum of ", C$8)),h5b!$A$3,"ReportingLevel","1:LA","lvl",$B20),0)</f>
        <v>4</v>
      </c>
      <c r="D20" s="119">
        <f>IFERROR(GETPIVOTDATA((CONCATENATE("Sum of ", D$8)),h5b!$A$3,"ReportingLevel","1:LA","lvl",$B20),0)</f>
        <v>8</v>
      </c>
      <c r="E20" s="119">
        <f>IFERROR(GETPIVOTDATA((CONCATENATE("Sum of ", E$8)),h5b!$A$3,"ReportingLevel","1:LA","lvl",$B20),0)</f>
        <v>49</v>
      </c>
      <c r="F20" s="109">
        <f>IFERROR(GETPIVOTDATA((CONCATENATE("Sum of ", F$8)),h5b!$A$3,"ReportingLevel","1:LA","lvl",$B20),0)</f>
        <v>62</v>
      </c>
    </row>
    <row r="21" spans="1:6" x14ac:dyDescent="0.25">
      <c r="A21" s="110" t="s">
        <v>316</v>
      </c>
      <c r="B21" s="65" t="s">
        <v>39</v>
      </c>
      <c r="C21" s="119">
        <f>IFERROR(GETPIVOTDATA((CONCATENATE("Sum of ", C$8)),h5b!$A$3,"ReportingLevel","1:LA","lvl",$B21),0)</f>
        <v>0</v>
      </c>
      <c r="D21" s="119">
        <f>IFERROR(GETPIVOTDATA((CONCATENATE("Sum of ", D$8)),h5b!$A$3,"ReportingLevel","1:LA","lvl",$B21),0)</f>
        <v>0</v>
      </c>
      <c r="E21" s="119">
        <f>IFERROR(GETPIVOTDATA((CONCATENATE("Sum of ", E$8)),h5b!$A$3,"ReportingLevel","1:LA","lvl",$B21),0)</f>
        <v>0</v>
      </c>
      <c r="F21" s="109">
        <f>IFERROR(GETPIVOTDATA((CONCATENATE("Sum of ", F$8)),h5b!$A$3,"ReportingLevel","1:LA","lvl",$B21),0)</f>
        <v>0</v>
      </c>
    </row>
    <row r="22" spans="1:6" x14ac:dyDescent="0.25">
      <c r="A22" s="110" t="s">
        <v>290</v>
      </c>
      <c r="B22" s="65" t="s">
        <v>40</v>
      </c>
      <c r="C22" s="119">
        <f>IFERROR(GETPIVOTDATA((CONCATENATE("Sum of ", C$8)),h5b!$A$3,"ReportingLevel","1:LA","lvl",$B22),0)</f>
        <v>5</v>
      </c>
      <c r="D22" s="119">
        <f>IFERROR(GETPIVOTDATA((CONCATENATE("Sum of ", D$8)),h5b!$A$3,"ReportingLevel","1:LA","lvl",$B22),0)</f>
        <v>10</v>
      </c>
      <c r="E22" s="119">
        <f>IFERROR(GETPIVOTDATA((CONCATENATE("Sum of ", E$8)),h5b!$A$3,"ReportingLevel","1:LA","lvl",$B22),0)</f>
        <v>36</v>
      </c>
      <c r="F22" s="109">
        <f>IFERROR(GETPIVOTDATA((CONCATENATE("Sum of ", F$8)),h5b!$A$3,"ReportingLevel","1:LA","lvl",$B22),0)</f>
        <v>52</v>
      </c>
    </row>
    <row r="23" spans="1:6" x14ac:dyDescent="0.25">
      <c r="A23" s="110" t="s">
        <v>291</v>
      </c>
      <c r="B23" s="65" t="s">
        <v>41</v>
      </c>
      <c r="C23" s="119">
        <f>IFERROR(GETPIVOTDATA((CONCATENATE("Sum of ", C$8)),h5b!$A$3,"ReportingLevel","1:LA","lvl",$B23),0)</f>
        <v>0</v>
      </c>
      <c r="D23" s="119">
        <f>IFERROR(GETPIVOTDATA((CONCATENATE("Sum of ", D$8)),h5b!$A$3,"ReportingLevel","1:LA","lvl",$B23),0)</f>
        <v>0</v>
      </c>
      <c r="E23" s="119">
        <f>IFERROR(GETPIVOTDATA((CONCATENATE("Sum of ", E$8)),h5b!$A$3,"ReportingLevel","1:LA","lvl",$B23),0)</f>
        <v>0</v>
      </c>
      <c r="F23" s="109">
        <f>IFERROR(GETPIVOTDATA((CONCATENATE("Sum of ", F$8)),h5b!$A$3,"ReportingLevel","1:LA","lvl",$B23),0)</f>
        <v>0</v>
      </c>
    </row>
    <row r="24" spans="1:6" x14ac:dyDescent="0.25">
      <c r="A24" s="110" t="s">
        <v>293</v>
      </c>
      <c r="B24" s="65" t="s">
        <v>42</v>
      </c>
      <c r="C24" s="119">
        <f>IFERROR(GETPIVOTDATA((CONCATENATE("Sum of ", C$8)),h5b!$A$3,"ReportingLevel","1:LA","lvl",$B24),0)</f>
        <v>4</v>
      </c>
      <c r="D24" s="119">
        <f>IFERROR(GETPIVOTDATA((CONCATENATE("Sum of ", D$8)),h5b!$A$3,"ReportingLevel","1:LA","lvl",$B24),0)</f>
        <v>8</v>
      </c>
      <c r="E24" s="119">
        <f>IFERROR(GETPIVOTDATA((CONCATENATE("Sum of ", E$8)),h5b!$A$3,"ReportingLevel","1:LA","lvl",$B24),0)</f>
        <v>29</v>
      </c>
      <c r="F24" s="109">
        <f>IFERROR(GETPIVOTDATA((CONCATENATE("Sum of ", F$8)),h5b!$A$3,"ReportingLevel","1:LA","lvl",$B24),0)</f>
        <v>41</v>
      </c>
    </row>
    <row r="25" spans="1:6" x14ac:dyDescent="0.25">
      <c r="A25" s="110" t="s">
        <v>318</v>
      </c>
      <c r="B25" s="65" t="s">
        <v>43</v>
      </c>
      <c r="C25" s="119">
        <f>IFERROR(GETPIVOTDATA((CONCATENATE("Sum of ", C$8)),h5b!$A$3,"ReportingLevel","1:LA","lvl",$B25),0)</f>
        <v>10</v>
      </c>
      <c r="D25" s="119">
        <f>IFERROR(GETPIVOTDATA((CONCATENATE("Sum of ", D$8)),h5b!$A$3,"ReportingLevel","1:LA","lvl",$B25),0)</f>
        <v>18</v>
      </c>
      <c r="E25" s="119">
        <f>IFERROR(GETPIVOTDATA((CONCATENATE("Sum of ", E$8)),h5b!$A$3,"ReportingLevel","1:LA","lvl",$B25),0)</f>
        <v>75</v>
      </c>
      <c r="F25" s="109">
        <f>IFERROR(GETPIVOTDATA((CONCATENATE("Sum of ", F$8)),h5b!$A$3,"ReportingLevel","1:LA","lvl",$B25),0)</f>
        <v>102</v>
      </c>
    </row>
    <row r="26" spans="1:6" x14ac:dyDescent="0.25">
      <c r="A26" s="110" t="s">
        <v>317</v>
      </c>
      <c r="B26" s="65" t="s">
        <v>124</v>
      </c>
      <c r="C26" s="119">
        <f>IFERROR(GETPIVOTDATA((CONCATENATE("Sum of ", C$8)),h5b!$A$3,"ReportingLevel","1:LA","lvl",$B26),0)</f>
        <v>0</v>
      </c>
      <c r="D26" s="119">
        <f>IFERROR(GETPIVOTDATA((CONCATENATE("Sum of ", D$8)),h5b!$A$3,"ReportingLevel","1:LA","lvl",$B26),0)</f>
        <v>0</v>
      </c>
      <c r="E26" s="119">
        <f>IFERROR(GETPIVOTDATA((CONCATENATE("Sum of ", E$8)),h5b!$A$3,"ReportingLevel","1:LA","lvl",$B26),0)</f>
        <v>0</v>
      </c>
      <c r="F26" s="109">
        <f>IFERROR(GETPIVOTDATA((CONCATENATE("Sum of ", F$8)),h5b!$A$3,"ReportingLevel","1:LA","lvl",$B26),0)</f>
        <v>0</v>
      </c>
    </row>
    <row r="27" spans="1:6" x14ac:dyDescent="0.25">
      <c r="A27" s="110" t="s">
        <v>294</v>
      </c>
      <c r="B27" s="65" t="s">
        <v>44</v>
      </c>
      <c r="C27" s="119">
        <f>IFERROR(GETPIVOTDATA((CONCATENATE("Sum of ", C$8)),h5b!$A$3,"ReportingLevel","1:LA","lvl",$B27),0)</f>
        <v>66</v>
      </c>
      <c r="D27" s="119">
        <f>IFERROR(GETPIVOTDATA((CONCATENATE("Sum of ", D$8)),h5b!$A$3,"ReportingLevel","1:LA","lvl",$B27),0)</f>
        <v>96</v>
      </c>
      <c r="E27" s="119">
        <f>IFERROR(GETPIVOTDATA((CONCATENATE("Sum of ", E$8)),h5b!$A$3,"ReportingLevel","1:LA","lvl",$B27),0)</f>
        <v>353</v>
      </c>
      <c r="F27" s="109">
        <f>IFERROR(GETPIVOTDATA((CONCATENATE("Sum of ", F$8)),h5b!$A$3,"ReportingLevel","1:LA","lvl",$B27),0)</f>
        <v>516</v>
      </c>
    </row>
    <row r="28" spans="1:6" x14ac:dyDescent="0.25">
      <c r="A28" s="110" t="s">
        <v>295</v>
      </c>
      <c r="B28" s="65" t="s">
        <v>45</v>
      </c>
      <c r="C28" s="119">
        <f>IFERROR(GETPIVOTDATA((CONCATENATE("Sum of ", C$8)),h5b!$A$3,"ReportingLevel","1:LA","lvl",$B28),0)</f>
        <v>3</v>
      </c>
      <c r="D28" s="119">
        <f>IFERROR(GETPIVOTDATA((CONCATENATE("Sum of ", D$8)),h5b!$A$3,"ReportingLevel","1:LA","lvl",$B28),0)</f>
        <v>5</v>
      </c>
      <c r="E28" s="119">
        <f>IFERROR(GETPIVOTDATA((CONCATENATE("Sum of ", E$8)),h5b!$A$3,"ReportingLevel","1:LA","lvl",$B28),0)</f>
        <v>29</v>
      </c>
      <c r="F28" s="109">
        <f>IFERROR(GETPIVOTDATA((CONCATENATE("Sum of ", F$8)),h5b!$A$3,"ReportingLevel","1:LA","lvl",$B28),0)</f>
        <v>36</v>
      </c>
    </row>
    <row r="29" spans="1:6" x14ac:dyDescent="0.25">
      <c r="A29" s="110" t="s">
        <v>296</v>
      </c>
      <c r="B29" s="65" t="s">
        <v>46</v>
      </c>
      <c r="C29" s="119">
        <f>IFERROR(GETPIVOTDATA((CONCATENATE("Sum of ", C$8)),h5b!$A$3,"ReportingLevel","1:LA","lvl",$B29),0)</f>
        <v>1</v>
      </c>
      <c r="D29" s="119">
        <f>IFERROR(GETPIVOTDATA((CONCATENATE("Sum of ", D$8)),h5b!$A$3,"ReportingLevel","1:LA","lvl",$B29),0)</f>
        <v>2</v>
      </c>
      <c r="E29" s="119">
        <f>IFERROR(GETPIVOTDATA((CONCATENATE("Sum of ", E$8)),h5b!$A$3,"ReportingLevel","1:LA","lvl",$B29),0)</f>
        <v>8</v>
      </c>
      <c r="F29" s="109">
        <f>IFERROR(GETPIVOTDATA((CONCATENATE("Sum of ", F$8)),h5b!$A$3,"ReportingLevel","1:LA","lvl",$B29),0)</f>
        <v>11</v>
      </c>
    </row>
    <row r="30" spans="1:6" x14ac:dyDescent="0.25">
      <c r="A30" s="110" t="s">
        <v>297</v>
      </c>
      <c r="B30" s="65" t="s">
        <v>47</v>
      </c>
      <c r="C30" s="119">
        <f>IFERROR(GETPIVOTDATA((CONCATENATE("Sum of ", C$8)),h5b!$A$3,"ReportingLevel","1:LA","lvl",$B30),0)</f>
        <v>11</v>
      </c>
      <c r="D30" s="119">
        <f>IFERROR(GETPIVOTDATA((CONCATENATE("Sum of ", D$8)),h5b!$A$3,"ReportingLevel","1:LA","lvl",$B30),0)</f>
        <v>24</v>
      </c>
      <c r="E30" s="119">
        <f>IFERROR(GETPIVOTDATA((CONCATENATE("Sum of ", E$8)),h5b!$A$3,"ReportingLevel","1:LA","lvl",$B30),0)</f>
        <v>75</v>
      </c>
      <c r="F30" s="109">
        <f>IFERROR(GETPIVOTDATA((CONCATENATE("Sum of ", F$8)),h5b!$A$3,"ReportingLevel","1:LA","lvl",$B30),0)</f>
        <v>110</v>
      </c>
    </row>
    <row r="31" spans="1:6" x14ac:dyDescent="0.25">
      <c r="A31" s="110" t="s">
        <v>292</v>
      </c>
      <c r="B31" s="65" t="s">
        <v>48</v>
      </c>
      <c r="C31" s="119">
        <f>IFERROR(GETPIVOTDATA((CONCATENATE("Sum of ", C$8)),h5b!$A$3,"ReportingLevel","1:LA","lvl",$B31),0)</f>
        <v>14</v>
      </c>
      <c r="D31" s="119">
        <f>IFERROR(GETPIVOTDATA((CONCATENATE("Sum of ", D$8)),h5b!$A$3,"ReportingLevel","1:LA","lvl",$B31),0)</f>
        <v>24</v>
      </c>
      <c r="E31" s="119">
        <f>IFERROR(GETPIVOTDATA((CONCATENATE("Sum of ", E$8)),h5b!$A$3,"ReportingLevel","1:LA","lvl",$B31),0)</f>
        <v>90</v>
      </c>
      <c r="F31" s="109">
        <f>IFERROR(GETPIVOTDATA((CONCATENATE("Sum of ", F$8)),h5b!$A$3,"ReportingLevel","1:LA","lvl",$B31),0)</f>
        <v>128</v>
      </c>
    </row>
    <row r="32" spans="1:6" x14ac:dyDescent="0.25">
      <c r="A32" s="110" t="s">
        <v>298</v>
      </c>
      <c r="B32" s="65" t="s">
        <v>49</v>
      </c>
      <c r="C32" s="119">
        <f>IFERROR(GETPIVOTDATA((CONCATENATE("Sum of ", C$8)),h5b!$A$3,"ReportingLevel","1:LA","lvl",$B32),0)</f>
        <v>12</v>
      </c>
      <c r="D32" s="119">
        <f>IFERROR(GETPIVOTDATA((CONCATENATE("Sum of ", D$8)),h5b!$A$3,"ReportingLevel","1:LA","lvl",$B32),0)</f>
        <v>10</v>
      </c>
      <c r="E32" s="119">
        <f>IFERROR(GETPIVOTDATA((CONCATENATE("Sum of ", E$8)),h5b!$A$3,"ReportingLevel","1:LA","lvl",$B32),0)</f>
        <v>70</v>
      </c>
      <c r="F32" s="109">
        <f>IFERROR(GETPIVOTDATA((CONCATENATE("Sum of ", F$8)),h5b!$A$3,"ReportingLevel","1:LA","lvl",$B32),0)</f>
        <v>92</v>
      </c>
    </row>
    <row r="33" spans="1:6" x14ac:dyDescent="0.25">
      <c r="A33" s="110" t="s">
        <v>315</v>
      </c>
      <c r="B33" s="65" t="s">
        <v>50</v>
      </c>
      <c r="C33" s="119">
        <f>IFERROR(GETPIVOTDATA((CONCATENATE("Sum of ", C$8)),h5b!$A$3,"ReportingLevel","1:LA","lvl",$B33),0)</f>
        <v>2</v>
      </c>
      <c r="D33" s="119">
        <f>IFERROR(GETPIVOTDATA((CONCATENATE("Sum of ", D$8)),h5b!$A$3,"ReportingLevel","1:LA","lvl",$B33),0)</f>
        <v>5</v>
      </c>
      <c r="E33" s="119">
        <f>IFERROR(GETPIVOTDATA((CONCATENATE("Sum of ", E$8)),h5b!$A$3,"ReportingLevel","1:LA","lvl",$B33),0)</f>
        <v>18</v>
      </c>
      <c r="F33" s="109">
        <f>IFERROR(GETPIVOTDATA((CONCATENATE("Sum of ", F$8)),h5b!$A$3,"ReportingLevel","1:LA","lvl",$B33),0)</f>
        <v>26</v>
      </c>
    </row>
    <row r="34" spans="1:6" x14ac:dyDescent="0.25">
      <c r="A34" s="110" t="s">
        <v>299</v>
      </c>
      <c r="B34" s="65" t="s">
        <v>51</v>
      </c>
      <c r="C34" s="119">
        <f>IFERROR(GETPIVOTDATA((CONCATENATE("Sum of ", C$8)),h5b!$A$3,"ReportingLevel","1:LA","lvl",$B34),0)</f>
        <v>10</v>
      </c>
      <c r="D34" s="119">
        <f>IFERROR(GETPIVOTDATA((CONCATENATE("Sum of ", D$8)),h5b!$A$3,"ReportingLevel","1:LA","lvl",$B34),0)</f>
        <v>23</v>
      </c>
      <c r="E34" s="119">
        <f>IFERROR(GETPIVOTDATA((CONCATENATE("Sum of ", E$8)),h5b!$A$3,"ReportingLevel","1:LA","lvl",$B34),0)</f>
        <v>75</v>
      </c>
      <c r="F34" s="109">
        <f>IFERROR(GETPIVOTDATA((CONCATENATE("Sum of ", F$8)),h5b!$A$3,"ReportingLevel","1:LA","lvl",$B34),0)</f>
        <v>108</v>
      </c>
    </row>
    <row r="35" spans="1:6" x14ac:dyDescent="0.25">
      <c r="A35" s="110" t="s">
        <v>300</v>
      </c>
      <c r="B35" s="65" t="s">
        <v>52</v>
      </c>
      <c r="C35" s="119">
        <f>IFERROR(GETPIVOTDATA((CONCATENATE("Sum of ", C$8)),h5b!$A$3,"ReportingLevel","1:LA","lvl",$B35),0)</f>
        <v>10</v>
      </c>
      <c r="D35" s="119">
        <f>IFERROR(GETPIVOTDATA((CONCATENATE("Sum of ", D$8)),h5b!$A$3,"ReportingLevel","1:LA","lvl",$B35),0)</f>
        <v>20</v>
      </c>
      <c r="E35" s="119">
        <f>IFERROR(GETPIVOTDATA((CONCATENATE("Sum of ", E$8)),h5b!$A$3,"ReportingLevel","1:LA","lvl",$B35),0)</f>
        <v>82</v>
      </c>
      <c r="F35" s="109">
        <f>IFERROR(GETPIVOTDATA((CONCATENATE("Sum of ", F$8)),h5b!$A$3,"ReportingLevel","1:LA","lvl",$B35),0)</f>
        <v>113</v>
      </c>
    </row>
    <row r="36" spans="1:6" x14ac:dyDescent="0.25">
      <c r="A36" s="110" t="s">
        <v>310</v>
      </c>
      <c r="B36" s="65" t="s">
        <v>53</v>
      </c>
      <c r="C36" s="119">
        <f>IFERROR(GETPIVOTDATA((CONCATENATE("Sum of ", C$8)),h5b!$A$3,"ReportingLevel","1:LA","lvl",$B36),0)</f>
        <v>1</v>
      </c>
      <c r="D36" s="119">
        <f>IFERROR(GETPIVOTDATA((CONCATENATE("Sum of ", D$8)),h5b!$A$3,"ReportingLevel","1:LA","lvl",$B36),0)</f>
        <v>2</v>
      </c>
      <c r="E36" s="119">
        <f>IFERROR(GETPIVOTDATA((CONCATENATE("Sum of ", E$8)),h5b!$A$3,"ReportingLevel","1:LA","lvl",$B36),0)</f>
        <v>10</v>
      </c>
      <c r="F36" s="109">
        <f>IFERROR(GETPIVOTDATA((CONCATENATE("Sum of ", F$8)),h5b!$A$3,"ReportingLevel","1:LA","lvl",$B36),0)</f>
        <v>12</v>
      </c>
    </row>
    <row r="37" spans="1:6" x14ac:dyDescent="0.25">
      <c r="A37" s="110" t="s">
        <v>301</v>
      </c>
      <c r="B37" s="65" t="s">
        <v>54</v>
      </c>
      <c r="C37" s="119">
        <f>IFERROR(GETPIVOTDATA((CONCATENATE("Sum of ", C$8)),h5b!$A$3,"ReportingLevel","1:LA","lvl",$B37),0)</f>
        <v>12</v>
      </c>
      <c r="D37" s="119">
        <f>IFERROR(GETPIVOTDATA((CONCATENATE("Sum of ", D$8)),h5b!$A$3,"ReportingLevel","1:LA","lvl",$B37),0)</f>
        <v>25</v>
      </c>
      <c r="E37" s="119">
        <f>IFERROR(GETPIVOTDATA((CONCATENATE("Sum of ", E$8)),h5b!$A$3,"ReportingLevel","1:LA","lvl",$B37),0)</f>
        <v>82</v>
      </c>
      <c r="F37" s="109">
        <f>IFERROR(GETPIVOTDATA((CONCATENATE("Sum of ", F$8)),h5b!$A$3,"ReportingLevel","1:LA","lvl",$B37),0)</f>
        <v>119</v>
      </c>
    </row>
    <row r="38" spans="1:6" x14ac:dyDescent="0.25">
      <c r="A38" s="110" t="s">
        <v>302</v>
      </c>
      <c r="B38" s="65" t="s">
        <v>55</v>
      </c>
      <c r="C38" s="119">
        <f>IFERROR(GETPIVOTDATA((CONCATENATE("Sum of ", C$8)),h5b!$A$3,"ReportingLevel","1:LA","lvl",$B38),0)</f>
        <v>13</v>
      </c>
      <c r="D38" s="119">
        <f>IFERROR(GETPIVOTDATA((CONCATENATE("Sum of ", D$8)),h5b!$A$3,"ReportingLevel","1:LA","lvl",$B38),0)</f>
        <v>24</v>
      </c>
      <c r="E38" s="119">
        <f>IFERROR(GETPIVOTDATA((CONCATENATE("Sum of ", E$8)),h5b!$A$3,"ReportingLevel","1:LA","lvl",$B38),0)</f>
        <v>83</v>
      </c>
      <c r="F38" s="109">
        <f>IFERROR(GETPIVOTDATA((CONCATENATE("Sum of ", F$8)),h5b!$A$3,"ReportingLevel","1:LA","lvl",$B38),0)</f>
        <v>119</v>
      </c>
    </row>
    <row r="39" spans="1:6" x14ac:dyDescent="0.25">
      <c r="A39" s="110" t="s">
        <v>303</v>
      </c>
      <c r="B39" s="65" t="s">
        <v>56</v>
      </c>
      <c r="C39" s="119">
        <f>IFERROR(GETPIVOTDATA((CONCATENATE("Sum of ", C$8)),h5b!$A$3,"ReportingLevel","1:LA","lvl",$B39),0)</f>
        <v>5</v>
      </c>
      <c r="D39" s="119">
        <f>IFERROR(GETPIVOTDATA((CONCATENATE("Sum of ", D$8)),h5b!$A$3,"ReportingLevel","1:LA","lvl",$B39),0)</f>
        <v>6</v>
      </c>
      <c r="E39" s="119">
        <f>IFERROR(GETPIVOTDATA((CONCATENATE("Sum of ", E$8)),h5b!$A$3,"ReportingLevel","1:LA","lvl",$B39),0)</f>
        <v>40</v>
      </c>
      <c r="F39" s="109">
        <f>IFERROR(GETPIVOTDATA((CONCATENATE("Sum of ", F$8)),h5b!$A$3,"ReportingLevel","1:LA","lvl",$B39),0)</f>
        <v>51</v>
      </c>
    </row>
    <row r="40" spans="1:6" x14ac:dyDescent="0.25">
      <c r="A40" s="110" t="s">
        <v>304</v>
      </c>
      <c r="B40" s="65" t="s">
        <v>57</v>
      </c>
      <c r="C40" s="119">
        <f>IFERROR(GETPIVOTDATA((CONCATENATE("Sum of ", C$8)),h5b!$A$3,"ReportingLevel","1:LA","lvl",$B40),0)</f>
        <v>8</v>
      </c>
      <c r="D40" s="119">
        <f>IFERROR(GETPIVOTDATA((CONCATENATE("Sum of ", D$8)),h5b!$A$3,"ReportingLevel","1:LA","lvl",$B40),0)</f>
        <v>7</v>
      </c>
      <c r="E40" s="119">
        <f>IFERROR(GETPIVOTDATA((CONCATENATE("Sum of ", E$8)),h5b!$A$3,"ReportingLevel","1:LA","lvl",$B40),0)</f>
        <v>51</v>
      </c>
      <c r="F40" s="109">
        <f>IFERROR(GETPIVOTDATA((CONCATENATE("Sum of ", F$8)),h5b!$A$3,"ReportingLevel","1:LA","lvl",$B40),0)</f>
        <v>66</v>
      </c>
    </row>
    <row r="41" spans="1:6" x14ac:dyDescent="0.25">
      <c r="A41" s="110" t="s">
        <v>305</v>
      </c>
      <c r="B41" s="65" t="s">
        <v>58</v>
      </c>
      <c r="C41" s="119">
        <f>IFERROR(GETPIVOTDATA((CONCATENATE("Sum of ", C$8)),h5b!$A$3,"ReportingLevel","1:LA","lvl",$B41),0)</f>
        <v>8</v>
      </c>
      <c r="D41" s="119">
        <f>IFERROR(GETPIVOTDATA((CONCATENATE("Sum of ", D$8)),h5b!$A$3,"ReportingLevel","1:LA","lvl",$B41),0)</f>
        <v>14</v>
      </c>
      <c r="E41" s="119">
        <f>IFERROR(GETPIVOTDATA((CONCATENATE("Sum of ", E$8)),h5b!$A$3,"ReportingLevel","1:LA","lvl",$B41),0)</f>
        <v>45</v>
      </c>
      <c r="F41" s="109">
        <f>IFERROR(GETPIVOTDATA((CONCATENATE("Sum of ", F$8)),h5b!$A$3,"ReportingLevel","1:LA","lvl",$B41),0)</f>
        <v>68</v>
      </c>
    </row>
    <row r="42" spans="1:6" x14ac:dyDescent="0.25">
      <c r="A42" s="110" t="s">
        <v>311</v>
      </c>
      <c r="B42" s="65" t="s">
        <v>59</v>
      </c>
      <c r="C42" s="119">
        <f>IFERROR(GETPIVOTDATA((CONCATENATE("Sum of ", C$8)),h5b!$A$3,"ReportingLevel","1:LA","lvl",$B42),0)</f>
        <v>2</v>
      </c>
      <c r="D42" s="119">
        <f>IFERROR(GETPIVOTDATA((CONCATENATE("Sum of ", D$8)),h5b!$A$3,"ReportingLevel","1:LA","lvl",$B42),0)</f>
        <v>2</v>
      </c>
      <c r="E42" s="119">
        <f>IFERROR(GETPIVOTDATA((CONCATENATE("Sum of ", E$8)),h5b!$A$3,"ReportingLevel","1:LA","lvl",$B42),0)</f>
        <v>14</v>
      </c>
      <c r="F42" s="109">
        <f>IFERROR(GETPIVOTDATA((CONCATENATE("Sum of ", F$8)),h5b!$A$3,"ReportingLevel","1:LA","lvl",$B42),0)</f>
        <v>18</v>
      </c>
    </row>
    <row r="43" spans="1:6" x14ac:dyDescent="0.25">
      <c r="A43" s="110" t="s">
        <v>312</v>
      </c>
      <c r="B43" s="65" t="s">
        <v>60</v>
      </c>
      <c r="C43" s="119">
        <f>IFERROR(GETPIVOTDATA((CONCATENATE("Sum of ", C$8)),h5b!$A$3,"ReportingLevel","1:LA","lvl",$B43),0)</f>
        <v>4</v>
      </c>
      <c r="D43" s="119">
        <f>IFERROR(GETPIVOTDATA((CONCATENATE("Sum of ", D$8)),h5b!$A$3,"ReportingLevel","1:LA","lvl",$B43),0)</f>
        <v>9</v>
      </c>
      <c r="E43" s="119">
        <f>IFERROR(GETPIVOTDATA((CONCATENATE("Sum of ", E$8)),h5b!$A$3,"ReportingLevel","1:LA","lvl",$B43),0)</f>
        <v>33</v>
      </c>
      <c r="F43" s="109">
        <f>IFERROR(GETPIVOTDATA((CONCATENATE("Sum of ", F$8)),h5b!$A$3,"ReportingLevel","1:LA","lvl",$B43),0)</f>
        <v>45</v>
      </c>
    </row>
    <row r="44" spans="1:6" ht="15.75" thickBot="1" x14ac:dyDescent="0.3">
      <c r="A44" s="690"/>
      <c r="B44" s="63" t="s">
        <v>61</v>
      </c>
      <c r="C44" s="443">
        <f>IFERROR(GETPIVOTDATA((CONCATENATE("Sum of ", C$8)),h5b!$A$3,"ReportingLevel","1:LA","lvl","ALL"),0)</f>
        <v>268</v>
      </c>
      <c r="D44" s="443">
        <f>IFERROR(GETPIVOTDATA((CONCATENATE("Sum of ", D$8)),h5b!$A$3,"ReportingLevel","1:LA","lvl","ALL"),0)</f>
        <v>479</v>
      </c>
      <c r="E44" s="443">
        <f>IFERROR(GETPIVOTDATA((CONCATENATE("Sum of ", E$8)),h5b!$A$3,"ReportingLevel","1:LA","lvl","ALL"),0)</f>
        <v>1864</v>
      </c>
      <c r="F44" s="443">
        <f>IFERROR(GETPIVOTDATA((CONCATENATE("Sum of ", F$8)),h5b!$A$3,"ReportingLevel","1:LA","lvl","ALL"),0)</f>
        <v>2611</v>
      </c>
    </row>
    <row r="45" spans="1:6" x14ac:dyDescent="0.25">
      <c r="B45" s="100"/>
      <c r="C45" s="372"/>
      <c r="D45" s="372"/>
      <c r="E45" s="372"/>
      <c r="F45" s="372"/>
    </row>
    <row r="46" spans="1:6" x14ac:dyDescent="0.25">
      <c r="A46" s="698" t="s">
        <v>8</v>
      </c>
      <c r="B46" s="685"/>
      <c r="C46" s="685"/>
      <c r="D46" s="685"/>
      <c r="E46" s="685"/>
    </row>
    <row r="47" spans="1:6" x14ac:dyDescent="0.25">
      <c r="A47" t="s">
        <v>1065</v>
      </c>
      <c r="B47" s="685"/>
      <c r="C47" s="685"/>
      <c r="D47" s="685"/>
      <c r="E47" s="685"/>
    </row>
    <row r="48" spans="1:6" x14ac:dyDescent="0.25">
      <c r="A48" s="695" t="s">
        <v>230</v>
      </c>
    </row>
    <row r="49" spans="1:10" x14ac:dyDescent="0.25">
      <c r="A49" s="548" t="s">
        <v>231</v>
      </c>
    </row>
    <row r="50" spans="1:10" x14ac:dyDescent="0.25">
      <c r="B50" s="551"/>
      <c r="C50" s="551"/>
      <c r="D50" s="551"/>
      <c r="E50" s="551"/>
      <c r="F50" s="551"/>
      <c r="G50" s="551"/>
      <c r="H50" s="551"/>
      <c r="I50" s="551"/>
      <c r="J50" s="551"/>
    </row>
    <row r="51" spans="1:10" x14ac:dyDescent="0.25">
      <c r="B51" s="509"/>
    </row>
    <row r="52" spans="1:10" x14ac:dyDescent="0.25">
      <c r="E52" s="548"/>
    </row>
  </sheetData>
  <sheetProtection algorithmName="SHA-512" hashValue="LVNwhaH1m1+J1fEwbYXjHZOUUfI/KJm0Gdi57WsOJyV60cK6uLP3CU58D0Lfkn1op7iXwrsRIvveCICvAPRJEw==" saltValue="MhCNT93qlwNBahvmUjtmtg==" spinCount="100000" sheet="1" autoFilter="0" pivotTables="0"/>
  <mergeCells count="1">
    <mergeCell ref="A1:G1"/>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A8765BA9-456A-4dab-B4F3-ACF838C121DE}">
      <x14:slicerList>
        <x14:slicer r:id="rId3"/>
      </x14:slicerList>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39997558519241921"/>
    <pageSetUpPr fitToPage="1"/>
  </sheetPr>
  <dimension ref="A1:XFC52"/>
  <sheetViews>
    <sheetView showGridLines="0" workbookViewId="0">
      <pane ySplit="2" topLeftCell="A3" activePane="bottomLeft" state="frozen"/>
      <selection sqref="A1:C1"/>
      <selection pane="bottomLeft" sqref="A1:H1"/>
    </sheetView>
  </sheetViews>
  <sheetFormatPr defaultRowHeight="15" x14ac:dyDescent="0.25"/>
  <cols>
    <col min="1" max="1" width="17.28515625" customWidth="1"/>
    <col min="2" max="2" width="58.7109375" customWidth="1"/>
    <col min="3" max="10" width="12.7109375" customWidth="1"/>
  </cols>
  <sheetData>
    <row r="1" spans="1:16383" ht="15.75" x14ac:dyDescent="0.25">
      <c r="A1" s="993" t="s">
        <v>523</v>
      </c>
      <c r="B1" s="993"/>
      <c r="C1" s="993"/>
      <c r="D1" s="993"/>
      <c r="E1" s="993"/>
      <c r="F1" s="993"/>
      <c r="G1" s="993"/>
      <c r="H1" s="993"/>
    </row>
    <row r="2" spans="1:16383" ht="15.75" x14ac:dyDescent="0.25">
      <c r="A2" s="790" t="s">
        <v>598</v>
      </c>
      <c r="C2" s="668"/>
      <c r="D2" s="668"/>
      <c r="E2" s="668"/>
      <c r="F2" s="668"/>
      <c r="G2" s="668"/>
      <c r="H2" s="668"/>
    </row>
    <row r="3" spans="1:16383" ht="15.75" x14ac:dyDescent="0.25">
      <c r="C3" s="668"/>
      <c r="D3" s="668"/>
      <c r="E3" s="668"/>
      <c r="F3" s="668"/>
      <c r="G3" s="668"/>
      <c r="H3" s="668"/>
    </row>
    <row r="4" spans="1:16383" ht="31.5" customHeight="1" x14ac:dyDescent="0.25">
      <c r="A4" s="684" t="s">
        <v>546</v>
      </c>
      <c r="B4" s="684"/>
      <c r="C4" s="684"/>
      <c r="D4" s="684"/>
      <c r="E4" s="684"/>
      <c r="F4" s="684"/>
      <c r="G4" s="684"/>
      <c r="H4" s="684"/>
      <c r="I4" s="684"/>
      <c r="J4" s="102"/>
    </row>
    <row r="5" spans="1:16383" ht="15" customHeight="1" x14ac:dyDescent="0.25">
      <c r="A5" t="s">
        <v>368</v>
      </c>
      <c r="B5" t="s">
        <v>781</v>
      </c>
      <c r="C5" s="684"/>
      <c r="D5" s="684"/>
      <c r="E5" s="684"/>
      <c r="F5" s="684"/>
      <c r="G5" s="684"/>
      <c r="H5" s="684"/>
      <c r="I5" s="684"/>
      <c r="J5" s="102"/>
    </row>
    <row r="6" spans="1:16383" ht="15" customHeight="1" x14ac:dyDescent="0.25">
      <c r="A6" t="s">
        <v>369</v>
      </c>
      <c r="B6" t="s">
        <v>371</v>
      </c>
      <c r="C6" s="684"/>
      <c r="D6" s="684"/>
      <c r="E6" s="684"/>
      <c r="F6" s="684"/>
      <c r="G6" s="684"/>
      <c r="H6" s="684"/>
      <c r="I6" s="684"/>
      <c r="J6" s="102"/>
    </row>
    <row r="7" spans="1:16383" ht="15" customHeight="1" x14ac:dyDescent="0.25">
      <c r="A7" t="s">
        <v>370</v>
      </c>
      <c r="B7" t="s">
        <v>372</v>
      </c>
      <c r="C7" s="684"/>
      <c r="D7" s="684"/>
      <c r="E7" s="684"/>
      <c r="F7" s="684"/>
      <c r="G7" s="684"/>
      <c r="H7" s="684"/>
      <c r="I7" s="684"/>
      <c r="J7" s="102"/>
    </row>
    <row r="8" spans="1:16383" ht="15" customHeight="1" x14ac:dyDescent="0.25">
      <c r="A8" t="s">
        <v>1063</v>
      </c>
      <c r="C8" s="684"/>
      <c r="D8" s="684"/>
      <c r="E8" s="684"/>
      <c r="F8" s="684"/>
      <c r="G8" s="684"/>
      <c r="H8" s="684"/>
      <c r="I8" s="684"/>
      <c r="J8" s="102"/>
    </row>
    <row r="9" spans="1:16383" ht="25.5" x14ac:dyDescent="0.25">
      <c r="A9" s="103" t="s">
        <v>532</v>
      </c>
      <c r="B9" s="103" t="s">
        <v>222</v>
      </c>
      <c r="C9" s="104" t="s">
        <v>18</v>
      </c>
      <c r="D9" s="104" t="s">
        <v>19</v>
      </c>
      <c r="E9" s="104" t="s">
        <v>20</v>
      </c>
      <c r="F9" s="104" t="s">
        <v>21</v>
      </c>
      <c r="G9" s="104" t="s">
        <v>22</v>
      </c>
      <c r="H9" s="104" t="s">
        <v>83</v>
      </c>
      <c r="I9" s="730" t="s">
        <v>26</v>
      </c>
    </row>
    <row r="10" spans="1:16383" ht="15.75" thickBot="1" x14ac:dyDescent="0.3">
      <c r="A10" s="690" t="s">
        <v>391</v>
      </c>
      <c r="B10" s="99" t="s">
        <v>536</v>
      </c>
      <c r="C10" s="444">
        <f>GETPIVOTDATA("Sum of Area Manager",h5cd!$A$3,"ReportingLevel","4:National","lvl","Scotland")</f>
        <v>1</v>
      </c>
      <c r="D10" s="444">
        <f>GETPIVOTDATA("Sum of Group Manager",h5cd!$A$3,"ReportingLevel","4:National","lvl","Scotland")</f>
        <v>4</v>
      </c>
      <c r="E10" s="444">
        <f>GETPIVOTDATA("Sum of Station Manager",h5cd!$A$3,"ReportingLevel","4:National","lvl","Scotland")</f>
        <v>9</v>
      </c>
      <c r="F10" s="444">
        <f>GETPIVOTDATA("Sum of Watch Manager",h5cd!$A$3,"ReportingLevel","4:National","lvl","Scotland")</f>
        <v>42</v>
      </c>
      <c r="G10" s="444">
        <f>GETPIVOTDATA("Sum of Crew Manager",h5cd!$A$3,"ReportingLevel","4:National","lvl","Scotland")</f>
        <v>27</v>
      </c>
      <c r="H10" s="444">
        <f>GETPIVOTDATA("Sum of Control Operator",h5cd!$A$3,"ReportingLevel","4:National","lvl","Scotland")</f>
        <v>119</v>
      </c>
      <c r="I10" s="731">
        <f>GETPIVOTDATA("Sum of Total",h5cd!$A$3,"ReportingLevel","4:National","lvl","Scotland")</f>
        <v>202</v>
      </c>
      <c r="K10" s="109"/>
      <c r="L10" s="109"/>
      <c r="M10" s="109"/>
      <c r="N10" s="109"/>
      <c r="O10" s="109"/>
      <c r="P10" s="109"/>
      <c r="Q10" s="109"/>
      <c r="R10" s="109"/>
    </row>
    <row r="11" spans="1:16383" x14ac:dyDescent="0.25">
      <c r="B11" s="101"/>
      <c r="C11" s="28"/>
      <c r="D11" s="28"/>
      <c r="E11" s="28"/>
      <c r="F11" s="28"/>
      <c r="G11" s="28"/>
      <c r="H11" s="28"/>
      <c r="I11" s="13"/>
      <c r="J11" s="45"/>
    </row>
    <row r="12" spans="1:16383" x14ac:dyDescent="0.25">
      <c r="A12" s="553" t="s">
        <v>8</v>
      </c>
      <c r="C12" s="28"/>
      <c r="D12" s="28"/>
      <c r="E12" s="28"/>
      <c r="F12" s="28"/>
      <c r="G12" s="28"/>
      <c r="H12" s="28"/>
      <c r="I12" s="13"/>
      <c r="J12" s="45"/>
    </row>
    <row r="13" spans="1:16383" x14ac:dyDescent="0.25">
      <c r="A13" s="695" t="s">
        <v>230</v>
      </c>
      <c r="B13" s="570"/>
      <c r="C13" s="702"/>
      <c r="D13" s="702"/>
      <c r="E13" s="702"/>
      <c r="F13" s="702"/>
      <c r="G13" s="702"/>
      <c r="H13" s="702"/>
      <c r="I13" s="702"/>
      <c r="J13" s="702"/>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c r="DWP13" s="16"/>
      <c r="DWQ13" s="16"/>
      <c r="DWR13" s="16"/>
      <c r="DWS13" s="16"/>
      <c r="DWT13" s="16"/>
      <c r="DWU13" s="16"/>
      <c r="DWV13" s="16"/>
      <c r="DWW13" s="16"/>
      <c r="DWX13" s="16"/>
      <c r="DWY13" s="16"/>
      <c r="DWZ13" s="16"/>
      <c r="DXA13" s="16"/>
      <c r="DXB13" s="16"/>
      <c r="DXC13" s="16"/>
      <c r="DXD13" s="16"/>
      <c r="DXE13" s="16"/>
      <c r="DXF13" s="16"/>
      <c r="DXG13" s="16"/>
      <c r="DXH13" s="16"/>
      <c r="DXI13" s="16"/>
      <c r="DXJ13" s="16"/>
      <c r="DXK13" s="16"/>
      <c r="DXL13" s="16"/>
      <c r="DXM13" s="16"/>
      <c r="DXN13" s="16"/>
      <c r="DXO13" s="16"/>
      <c r="DXP13" s="16"/>
      <c r="DXQ13" s="16"/>
      <c r="DXR13" s="16"/>
      <c r="DXS13" s="16"/>
      <c r="DXT13" s="16"/>
      <c r="DXU13" s="16"/>
      <c r="DXV13" s="16"/>
      <c r="DXW13" s="16"/>
      <c r="DXX13" s="16"/>
      <c r="DXY13" s="16"/>
      <c r="DXZ13" s="16"/>
      <c r="DYA13" s="16"/>
      <c r="DYB13" s="16"/>
      <c r="DYC13" s="16"/>
      <c r="DYD13" s="16"/>
      <c r="DYE13" s="16"/>
      <c r="DYF13" s="16"/>
      <c r="DYG13" s="16"/>
      <c r="DYH13" s="16"/>
      <c r="DYI13" s="16"/>
      <c r="DYJ13" s="16"/>
      <c r="DYK13" s="16"/>
      <c r="DYL13" s="16"/>
      <c r="DYM13" s="16"/>
      <c r="DYN13" s="16"/>
      <c r="DYO13" s="16"/>
      <c r="DYP13" s="16"/>
      <c r="DYQ13" s="16"/>
      <c r="DYR13" s="16"/>
      <c r="DYS13" s="16"/>
      <c r="DYT13" s="16"/>
      <c r="DYU13" s="16"/>
      <c r="DYV13" s="16"/>
      <c r="DYW13" s="16"/>
      <c r="DYX13" s="16"/>
      <c r="DYY13" s="16"/>
      <c r="DYZ13" s="16"/>
      <c r="DZA13" s="16"/>
      <c r="DZB13" s="16"/>
      <c r="DZC13" s="16"/>
      <c r="DZD13" s="16"/>
      <c r="DZE13" s="16"/>
      <c r="DZF13" s="16"/>
      <c r="DZG13" s="16"/>
      <c r="DZH13" s="16"/>
      <c r="DZI13" s="16"/>
      <c r="DZJ13" s="16"/>
      <c r="DZK13" s="16"/>
      <c r="DZL13" s="16"/>
      <c r="DZM13" s="16"/>
      <c r="DZN13" s="16"/>
      <c r="DZO13" s="16"/>
      <c r="DZP13" s="16"/>
      <c r="DZQ13" s="16"/>
      <c r="DZR13" s="16"/>
      <c r="DZS13" s="16"/>
      <c r="DZT13" s="16"/>
      <c r="DZU13" s="16"/>
      <c r="DZV13" s="16"/>
      <c r="DZW13" s="16"/>
      <c r="DZX13" s="16"/>
      <c r="DZY13" s="16"/>
      <c r="DZZ13" s="16"/>
      <c r="EAA13" s="16"/>
      <c r="EAB13" s="16"/>
      <c r="EAC13" s="16"/>
      <c r="EAD13" s="16"/>
      <c r="EAE13" s="16"/>
      <c r="EAF13" s="16"/>
      <c r="EAG13" s="16"/>
      <c r="EAH13" s="16"/>
      <c r="EAI13" s="16"/>
      <c r="EAJ13" s="16"/>
      <c r="EAK13" s="16"/>
      <c r="EAL13" s="16"/>
      <c r="EAM13" s="16"/>
      <c r="EAN13" s="16"/>
      <c r="EAO13" s="16"/>
      <c r="EAP13" s="16"/>
      <c r="EAQ13" s="16"/>
      <c r="EAR13" s="16"/>
      <c r="EAS13" s="16"/>
      <c r="EAT13" s="16"/>
      <c r="EAU13" s="16"/>
      <c r="EAV13" s="16"/>
      <c r="EAW13" s="16"/>
      <c r="EAX13" s="16"/>
      <c r="EAY13" s="16"/>
      <c r="EAZ13" s="16"/>
      <c r="EBA13" s="16"/>
      <c r="EBB13" s="16"/>
      <c r="EBC13" s="16"/>
      <c r="EBD13" s="16"/>
      <c r="EBE13" s="16"/>
      <c r="EBF13" s="16"/>
      <c r="EBG13" s="16"/>
      <c r="EBH13" s="16"/>
      <c r="EBI13" s="16"/>
      <c r="EBJ13" s="16"/>
      <c r="EBK13" s="16"/>
      <c r="EBL13" s="16"/>
      <c r="EBM13" s="16"/>
      <c r="EBN13" s="16"/>
      <c r="EBO13" s="16"/>
      <c r="EBP13" s="16"/>
      <c r="EBQ13" s="16"/>
      <c r="EBR13" s="16"/>
      <c r="EBS13" s="16"/>
      <c r="EBT13" s="16"/>
      <c r="EBU13" s="16"/>
      <c r="EBV13" s="16"/>
      <c r="EBW13" s="16"/>
      <c r="EBX13" s="16"/>
      <c r="EBY13" s="16"/>
      <c r="EBZ13" s="16"/>
      <c r="ECA13" s="16"/>
      <c r="ECB13" s="16"/>
      <c r="ECC13" s="16"/>
      <c r="ECD13" s="16"/>
      <c r="ECE13" s="16"/>
      <c r="ECF13" s="16"/>
      <c r="ECG13" s="16"/>
      <c r="ECH13" s="16"/>
      <c r="ECI13" s="16"/>
      <c r="ECJ13" s="16"/>
      <c r="ECK13" s="16"/>
      <c r="ECL13" s="16"/>
      <c r="ECM13" s="16"/>
      <c r="ECN13" s="16"/>
      <c r="ECO13" s="16"/>
      <c r="ECP13" s="16"/>
      <c r="ECQ13" s="16"/>
      <c r="ECR13" s="16"/>
      <c r="ECS13" s="16"/>
      <c r="ECT13" s="16"/>
      <c r="ECU13" s="16"/>
      <c r="ECV13" s="16"/>
      <c r="ECW13" s="16"/>
      <c r="ECX13" s="16"/>
      <c r="ECY13" s="16"/>
      <c r="ECZ13" s="16"/>
      <c r="EDA13" s="16"/>
      <c r="EDB13" s="16"/>
      <c r="EDC13" s="16"/>
      <c r="EDD13" s="16"/>
      <c r="EDE13" s="16"/>
      <c r="EDF13" s="16"/>
      <c r="EDG13" s="16"/>
      <c r="EDH13" s="16"/>
      <c r="EDI13" s="16"/>
      <c r="EDJ13" s="16"/>
      <c r="EDK13" s="16"/>
      <c r="EDL13" s="16"/>
      <c r="EDM13" s="16"/>
      <c r="EDN13" s="16"/>
      <c r="EDO13" s="16"/>
      <c r="EDP13" s="16"/>
      <c r="EDQ13" s="16"/>
      <c r="EDR13" s="16"/>
      <c r="EDS13" s="16"/>
      <c r="EDT13" s="16"/>
      <c r="EDU13" s="16"/>
      <c r="EDV13" s="16"/>
      <c r="EDW13" s="16"/>
      <c r="EDX13" s="16"/>
      <c r="EDY13" s="16"/>
      <c r="EDZ13" s="16"/>
      <c r="EEA13" s="16"/>
      <c r="EEB13" s="16"/>
      <c r="EEC13" s="16"/>
      <c r="EED13" s="16"/>
      <c r="EEE13" s="16"/>
      <c r="EEF13" s="16"/>
      <c r="EEG13" s="16"/>
      <c r="EEH13" s="16"/>
      <c r="EEI13" s="16"/>
      <c r="EEJ13" s="16"/>
      <c r="EEK13" s="16"/>
      <c r="EEL13" s="16"/>
      <c r="EEM13" s="16"/>
      <c r="EEN13" s="16"/>
      <c r="EEO13" s="16"/>
      <c r="EEP13" s="16"/>
      <c r="EEQ13" s="16"/>
      <c r="EER13" s="16"/>
      <c r="EES13" s="16"/>
      <c r="EET13" s="16"/>
      <c r="EEU13" s="16"/>
      <c r="EEV13" s="16"/>
      <c r="EEW13" s="16"/>
      <c r="EEX13" s="16"/>
      <c r="EEY13" s="16"/>
      <c r="EEZ13" s="16"/>
      <c r="EFA13" s="16"/>
      <c r="EFB13" s="16"/>
      <c r="EFC13" s="16"/>
      <c r="EFD13" s="16"/>
      <c r="EFE13" s="16"/>
      <c r="EFF13" s="16"/>
      <c r="EFG13" s="16"/>
      <c r="EFH13" s="16"/>
      <c r="EFI13" s="16"/>
      <c r="EFJ13" s="16"/>
      <c r="EFK13" s="16"/>
      <c r="EFL13" s="16"/>
      <c r="EFM13" s="16"/>
      <c r="EFN13" s="16"/>
      <c r="EFO13" s="16"/>
      <c r="EFP13" s="16"/>
      <c r="EFQ13" s="16"/>
      <c r="EFR13" s="16"/>
      <c r="EFS13" s="16"/>
      <c r="EFT13" s="16"/>
      <c r="EFU13" s="16"/>
      <c r="EFV13" s="16"/>
      <c r="EFW13" s="16"/>
      <c r="EFX13" s="16"/>
      <c r="EFY13" s="16"/>
      <c r="EFZ13" s="16"/>
      <c r="EGA13" s="16"/>
      <c r="EGB13" s="16"/>
      <c r="EGC13" s="16"/>
      <c r="EGD13" s="16"/>
      <c r="EGE13" s="16"/>
      <c r="EGF13" s="16"/>
      <c r="EGG13" s="16"/>
      <c r="EGH13" s="16"/>
      <c r="EGI13" s="16"/>
      <c r="EGJ13" s="16"/>
      <c r="EGK13" s="16"/>
      <c r="EGL13" s="16"/>
      <c r="EGM13" s="16"/>
      <c r="EGN13" s="16"/>
      <c r="EGO13" s="16"/>
      <c r="EGP13" s="16"/>
      <c r="EGQ13" s="16"/>
      <c r="EGR13" s="16"/>
      <c r="EGS13" s="16"/>
      <c r="EGT13" s="16"/>
      <c r="EGU13" s="16"/>
      <c r="EGV13" s="16"/>
      <c r="EGW13" s="16"/>
      <c r="EGX13" s="16"/>
      <c r="EGY13" s="16"/>
      <c r="EGZ13" s="16"/>
      <c r="EHA13" s="16"/>
      <c r="EHB13" s="16"/>
      <c r="EHC13" s="16"/>
      <c r="EHD13" s="16"/>
      <c r="EHE13" s="16"/>
      <c r="EHF13" s="16"/>
      <c r="EHG13" s="16"/>
      <c r="EHH13" s="16"/>
      <c r="EHI13" s="16"/>
      <c r="EHJ13" s="16"/>
      <c r="EHK13" s="16"/>
      <c r="EHL13" s="16"/>
      <c r="EHM13" s="16"/>
      <c r="EHN13" s="16"/>
      <c r="EHO13" s="16"/>
      <c r="EHP13" s="16"/>
      <c r="EHQ13" s="16"/>
      <c r="EHR13" s="16"/>
      <c r="EHS13" s="16"/>
      <c r="EHT13" s="16"/>
      <c r="EHU13" s="16"/>
      <c r="EHV13" s="16"/>
      <c r="EHW13" s="16"/>
      <c r="EHX13" s="16"/>
      <c r="EHY13" s="16"/>
      <c r="EHZ13" s="16"/>
      <c r="EIA13" s="16"/>
      <c r="EIB13" s="16"/>
      <c r="EIC13" s="16"/>
      <c r="EID13" s="16"/>
      <c r="EIE13" s="16"/>
      <c r="EIF13" s="16"/>
      <c r="EIG13" s="16"/>
      <c r="EIH13" s="16"/>
      <c r="EII13" s="16"/>
      <c r="EIJ13" s="16"/>
      <c r="EIK13" s="16"/>
      <c r="EIL13" s="16"/>
      <c r="EIM13" s="16"/>
      <c r="EIN13" s="16"/>
      <c r="EIO13" s="16"/>
      <c r="EIP13" s="16"/>
      <c r="EIQ13" s="16"/>
      <c r="EIR13" s="16"/>
      <c r="EIS13" s="16"/>
      <c r="EIT13" s="16"/>
      <c r="EIU13" s="16"/>
      <c r="EIV13" s="16"/>
      <c r="EIW13" s="16"/>
      <c r="EIX13" s="16"/>
      <c r="EIY13" s="16"/>
      <c r="EIZ13" s="16"/>
      <c r="EJA13" s="16"/>
      <c r="EJB13" s="16"/>
      <c r="EJC13" s="16"/>
      <c r="EJD13" s="16"/>
      <c r="EJE13" s="16"/>
      <c r="EJF13" s="16"/>
      <c r="EJG13" s="16"/>
      <c r="EJH13" s="16"/>
      <c r="EJI13" s="16"/>
      <c r="EJJ13" s="16"/>
      <c r="EJK13" s="16"/>
      <c r="EJL13" s="16"/>
      <c r="EJM13" s="16"/>
      <c r="EJN13" s="16"/>
      <c r="EJO13" s="16"/>
      <c r="EJP13" s="16"/>
      <c r="EJQ13" s="16"/>
      <c r="EJR13" s="16"/>
      <c r="EJS13" s="16"/>
      <c r="EJT13" s="16"/>
      <c r="EJU13" s="16"/>
      <c r="EJV13" s="16"/>
      <c r="EJW13" s="16"/>
      <c r="EJX13" s="16"/>
      <c r="EJY13" s="16"/>
      <c r="EJZ13" s="16"/>
      <c r="EKA13" s="16"/>
      <c r="EKB13" s="16"/>
      <c r="EKC13" s="16"/>
      <c r="EKD13" s="16"/>
      <c r="EKE13" s="16"/>
      <c r="EKF13" s="16"/>
      <c r="EKG13" s="16"/>
      <c r="EKH13" s="16"/>
      <c r="EKI13" s="16"/>
      <c r="EKJ13" s="16"/>
      <c r="EKK13" s="16"/>
      <c r="EKL13" s="16"/>
      <c r="EKM13" s="16"/>
      <c r="EKN13" s="16"/>
      <c r="EKO13" s="16"/>
      <c r="EKP13" s="16"/>
      <c r="EKQ13" s="16"/>
      <c r="EKR13" s="16"/>
      <c r="EKS13" s="16"/>
      <c r="EKT13" s="16"/>
      <c r="EKU13" s="16"/>
      <c r="EKV13" s="16"/>
      <c r="EKW13" s="16"/>
      <c r="EKX13" s="16"/>
      <c r="EKY13" s="16"/>
      <c r="EKZ13" s="16"/>
      <c r="ELA13" s="16"/>
      <c r="ELB13" s="16"/>
      <c r="ELC13" s="16"/>
      <c r="ELD13" s="16"/>
      <c r="ELE13" s="16"/>
      <c r="ELF13" s="16"/>
      <c r="ELG13" s="16"/>
      <c r="ELH13" s="16"/>
      <c r="ELI13" s="16"/>
      <c r="ELJ13" s="16"/>
      <c r="ELK13" s="16"/>
      <c r="ELL13" s="16"/>
      <c r="ELM13" s="16"/>
      <c r="ELN13" s="16"/>
      <c r="ELO13" s="16"/>
      <c r="ELP13" s="16"/>
      <c r="ELQ13" s="16"/>
      <c r="ELR13" s="16"/>
      <c r="ELS13" s="16"/>
      <c r="ELT13" s="16"/>
      <c r="ELU13" s="16"/>
      <c r="ELV13" s="16"/>
      <c r="ELW13" s="16"/>
      <c r="ELX13" s="16"/>
      <c r="ELY13" s="16"/>
      <c r="ELZ13" s="16"/>
      <c r="EMA13" s="16"/>
      <c r="EMB13" s="16"/>
      <c r="EMC13" s="16"/>
      <c r="EMD13" s="16"/>
      <c r="EME13" s="16"/>
      <c r="EMF13" s="16"/>
      <c r="EMG13" s="16"/>
      <c r="EMH13" s="16"/>
      <c r="EMI13" s="16"/>
      <c r="EMJ13" s="16"/>
      <c r="EMK13" s="16"/>
      <c r="EML13" s="16"/>
      <c r="EMM13" s="16"/>
      <c r="EMN13" s="16"/>
      <c r="EMO13" s="16"/>
      <c r="EMP13" s="16"/>
      <c r="EMQ13" s="16"/>
      <c r="EMR13" s="16"/>
      <c r="EMS13" s="16"/>
      <c r="EMT13" s="16"/>
      <c r="EMU13" s="16"/>
      <c r="EMV13" s="16"/>
      <c r="EMW13" s="16"/>
      <c r="EMX13" s="16"/>
      <c r="EMY13" s="16"/>
      <c r="EMZ13" s="16"/>
      <c r="ENA13" s="16"/>
      <c r="ENB13" s="16"/>
      <c r="ENC13" s="16"/>
      <c r="END13" s="16"/>
      <c r="ENE13" s="16"/>
      <c r="ENF13" s="16"/>
      <c r="ENG13" s="16"/>
      <c r="ENH13" s="16"/>
      <c r="ENI13" s="16"/>
      <c r="ENJ13" s="16"/>
      <c r="ENK13" s="16"/>
      <c r="ENL13" s="16"/>
      <c r="ENM13" s="16"/>
      <c r="ENN13" s="16"/>
      <c r="ENO13" s="16"/>
      <c r="ENP13" s="16"/>
      <c r="ENQ13" s="16"/>
      <c r="ENR13" s="16"/>
      <c r="ENS13" s="16"/>
      <c r="ENT13" s="16"/>
      <c r="ENU13" s="16"/>
      <c r="ENV13" s="16"/>
      <c r="ENW13" s="16"/>
      <c r="ENX13" s="16"/>
      <c r="ENY13" s="16"/>
      <c r="ENZ13" s="16"/>
      <c r="EOA13" s="16"/>
      <c r="EOB13" s="16"/>
      <c r="EOC13" s="16"/>
      <c r="EOD13" s="16"/>
      <c r="EOE13" s="16"/>
      <c r="EOF13" s="16"/>
      <c r="EOG13" s="16"/>
      <c r="EOH13" s="16"/>
      <c r="EOI13" s="16"/>
      <c r="EOJ13" s="16"/>
      <c r="EOK13" s="16"/>
      <c r="EOL13" s="16"/>
      <c r="EOM13" s="16"/>
      <c r="EON13" s="16"/>
      <c r="EOO13" s="16"/>
      <c r="EOP13" s="16"/>
      <c r="EOQ13" s="16"/>
      <c r="EOR13" s="16"/>
      <c r="EOS13" s="16"/>
      <c r="EOT13" s="16"/>
      <c r="EOU13" s="16"/>
      <c r="EOV13" s="16"/>
      <c r="EOW13" s="16"/>
      <c r="EOX13" s="16"/>
      <c r="EOY13" s="16"/>
      <c r="EOZ13" s="16"/>
      <c r="EPA13" s="16"/>
      <c r="EPB13" s="16"/>
      <c r="EPC13" s="16"/>
      <c r="EPD13" s="16"/>
      <c r="EPE13" s="16"/>
      <c r="EPF13" s="16"/>
      <c r="EPG13" s="16"/>
      <c r="EPH13" s="16"/>
      <c r="EPI13" s="16"/>
      <c r="EPJ13" s="16"/>
      <c r="EPK13" s="16"/>
      <c r="EPL13" s="16"/>
      <c r="EPM13" s="16"/>
      <c r="EPN13" s="16"/>
      <c r="EPO13" s="16"/>
      <c r="EPP13" s="16"/>
      <c r="EPQ13" s="16"/>
      <c r="EPR13" s="16"/>
      <c r="EPS13" s="16"/>
      <c r="EPT13" s="16"/>
      <c r="EPU13" s="16"/>
      <c r="EPV13" s="16"/>
      <c r="EPW13" s="16"/>
      <c r="EPX13" s="16"/>
      <c r="EPY13" s="16"/>
      <c r="EPZ13" s="16"/>
      <c r="EQA13" s="16"/>
      <c r="EQB13" s="16"/>
      <c r="EQC13" s="16"/>
      <c r="EQD13" s="16"/>
      <c r="EQE13" s="16"/>
      <c r="EQF13" s="16"/>
      <c r="EQG13" s="16"/>
      <c r="EQH13" s="16"/>
      <c r="EQI13" s="16"/>
      <c r="EQJ13" s="16"/>
      <c r="EQK13" s="16"/>
      <c r="EQL13" s="16"/>
      <c r="EQM13" s="16"/>
      <c r="EQN13" s="16"/>
      <c r="EQO13" s="16"/>
      <c r="EQP13" s="16"/>
      <c r="EQQ13" s="16"/>
      <c r="EQR13" s="16"/>
      <c r="EQS13" s="16"/>
      <c r="EQT13" s="16"/>
      <c r="EQU13" s="16"/>
      <c r="EQV13" s="16"/>
      <c r="EQW13" s="16"/>
      <c r="EQX13" s="16"/>
      <c r="EQY13" s="16"/>
      <c r="EQZ13" s="16"/>
      <c r="ERA13" s="16"/>
      <c r="ERB13" s="16"/>
      <c r="ERC13" s="16"/>
      <c r="ERD13" s="16"/>
      <c r="ERE13" s="16"/>
      <c r="ERF13" s="16"/>
      <c r="ERG13" s="16"/>
      <c r="ERH13" s="16"/>
      <c r="ERI13" s="16"/>
      <c r="ERJ13" s="16"/>
      <c r="ERK13" s="16"/>
      <c r="ERL13" s="16"/>
      <c r="ERM13" s="16"/>
      <c r="ERN13" s="16"/>
      <c r="ERO13" s="16"/>
      <c r="ERP13" s="16"/>
      <c r="ERQ13" s="16"/>
      <c r="ERR13" s="16"/>
      <c r="ERS13" s="16"/>
      <c r="ERT13" s="16"/>
      <c r="ERU13" s="16"/>
      <c r="ERV13" s="16"/>
      <c r="ERW13" s="16"/>
      <c r="ERX13" s="16"/>
      <c r="ERY13" s="16"/>
      <c r="ERZ13" s="16"/>
      <c r="ESA13" s="16"/>
      <c r="ESB13" s="16"/>
      <c r="ESC13" s="16"/>
      <c r="ESD13" s="16"/>
      <c r="ESE13" s="16"/>
      <c r="ESF13" s="16"/>
      <c r="ESG13" s="16"/>
      <c r="ESH13" s="16"/>
      <c r="ESI13" s="16"/>
      <c r="ESJ13" s="16"/>
      <c r="ESK13" s="16"/>
      <c r="ESL13" s="16"/>
      <c r="ESM13" s="16"/>
      <c r="ESN13" s="16"/>
      <c r="ESO13" s="16"/>
      <c r="ESP13" s="16"/>
      <c r="ESQ13" s="16"/>
      <c r="ESR13" s="16"/>
      <c r="ESS13" s="16"/>
      <c r="EST13" s="16"/>
      <c r="ESU13" s="16"/>
      <c r="ESV13" s="16"/>
      <c r="ESW13" s="16"/>
      <c r="ESX13" s="16"/>
      <c r="ESY13" s="16"/>
      <c r="ESZ13" s="16"/>
      <c r="ETA13" s="16"/>
      <c r="ETB13" s="16"/>
      <c r="ETC13" s="16"/>
      <c r="ETD13" s="16"/>
      <c r="ETE13" s="16"/>
      <c r="ETF13" s="16"/>
      <c r="ETG13" s="16"/>
      <c r="ETH13" s="16"/>
      <c r="ETI13" s="16"/>
      <c r="ETJ13" s="16"/>
      <c r="ETK13" s="16"/>
      <c r="ETL13" s="16"/>
      <c r="ETM13" s="16"/>
      <c r="ETN13" s="16"/>
      <c r="ETO13" s="16"/>
      <c r="ETP13" s="16"/>
      <c r="ETQ13" s="16"/>
      <c r="ETR13" s="16"/>
      <c r="ETS13" s="16"/>
      <c r="ETT13" s="16"/>
      <c r="ETU13" s="16"/>
      <c r="ETV13" s="16"/>
      <c r="ETW13" s="16"/>
      <c r="ETX13" s="16"/>
      <c r="ETY13" s="16"/>
      <c r="ETZ13" s="16"/>
      <c r="EUA13" s="16"/>
      <c r="EUB13" s="16"/>
      <c r="EUC13" s="16"/>
      <c r="EUD13" s="16"/>
      <c r="EUE13" s="16"/>
      <c r="EUF13" s="16"/>
      <c r="EUG13" s="16"/>
      <c r="EUH13" s="16"/>
      <c r="EUI13" s="16"/>
      <c r="EUJ13" s="16"/>
      <c r="EUK13" s="16"/>
      <c r="EUL13" s="16"/>
      <c r="EUM13" s="16"/>
      <c r="EUN13" s="16"/>
      <c r="EUO13" s="16"/>
      <c r="EUP13" s="16"/>
      <c r="EUQ13" s="16"/>
      <c r="EUR13" s="16"/>
      <c r="EUS13" s="16"/>
      <c r="EUT13" s="16"/>
      <c r="EUU13" s="16"/>
      <c r="EUV13" s="16"/>
      <c r="EUW13" s="16"/>
      <c r="EUX13" s="16"/>
      <c r="EUY13" s="16"/>
      <c r="EUZ13" s="16"/>
      <c r="EVA13" s="16"/>
      <c r="EVB13" s="16"/>
      <c r="EVC13" s="16"/>
      <c r="EVD13" s="16"/>
      <c r="EVE13" s="16"/>
      <c r="EVF13" s="16"/>
      <c r="EVG13" s="16"/>
      <c r="EVH13" s="16"/>
      <c r="EVI13" s="16"/>
      <c r="EVJ13" s="16"/>
      <c r="EVK13" s="16"/>
      <c r="EVL13" s="16"/>
      <c r="EVM13" s="16"/>
      <c r="EVN13" s="16"/>
      <c r="EVO13" s="16"/>
      <c r="EVP13" s="16"/>
      <c r="EVQ13" s="16"/>
      <c r="EVR13" s="16"/>
      <c r="EVS13" s="16"/>
      <c r="EVT13" s="16"/>
      <c r="EVU13" s="16"/>
      <c r="EVV13" s="16"/>
      <c r="EVW13" s="16"/>
      <c r="EVX13" s="16"/>
      <c r="EVY13" s="16"/>
      <c r="EVZ13" s="16"/>
      <c r="EWA13" s="16"/>
      <c r="EWB13" s="16"/>
      <c r="EWC13" s="16"/>
      <c r="EWD13" s="16"/>
      <c r="EWE13" s="16"/>
      <c r="EWF13" s="16"/>
      <c r="EWG13" s="16"/>
      <c r="EWH13" s="16"/>
      <c r="EWI13" s="16"/>
      <c r="EWJ13" s="16"/>
      <c r="EWK13" s="16"/>
      <c r="EWL13" s="16"/>
      <c r="EWM13" s="16"/>
      <c r="EWN13" s="16"/>
      <c r="EWO13" s="16"/>
      <c r="EWP13" s="16"/>
      <c r="EWQ13" s="16"/>
      <c r="EWR13" s="16"/>
      <c r="EWS13" s="16"/>
      <c r="EWT13" s="16"/>
      <c r="EWU13" s="16"/>
      <c r="EWV13" s="16"/>
      <c r="EWW13" s="16"/>
      <c r="EWX13" s="16"/>
      <c r="EWY13" s="16"/>
      <c r="EWZ13" s="16"/>
      <c r="EXA13" s="16"/>
      <c r="EXB13" s="16"/>
      <c r="EXC13" s="16"/>
      <c r="EXD13" s="16"/>
      <c r="EXE13" s="16"/>
      <c r="EXF13" s="16"/>
      <c r="EXG13" s="16"/>
      <c r="EXH13" s="16"/>
      <c r="EXI13" s="16"/>
      <c r="EXJ13" s="16"/>
      <c r="EXK13" s="16"/>
      <c r="EXL13" s="16"/>
      <c r="EXM13" s="16"/>
      <c r="EXN13" s="16"/>
      <c r="EXO13" s="16"/>
      <c r="EXP13" s="16"/>
      <c r="EXQ13" s="16"/>
      <c r="EXR13" s="16"/>
      <c r="EXS13" s="16"/>
      <c r="EXT13" s="16"/>
      <c r="EXU13" s="16"/>
      <c r="EXV13" s="16"/>
      <c r="EXW13" s="16"/>
      <c r="EXX13" s="16"/>
      <c r="EXY13" s="16"/>
      <c r="EXZ13" s="16"/>
      <c r="EYA13" s="16"/>
      <c r="EYB13" s="16"/>
      <c r="EYC13" s="16"/>
      <c r="EYD13" s="16"/>
      <c r="EYE13" s="16"/>
      <c r="EYF13" s="16"/>
      <c r="EYG13" s="16"/>
      <c r="EYH13" s="16"/>
      <c r="EYI13" s="16"/>
      <c r="EYJ13" s="16"/>
      <c r="EYK13" s="16"/>
      <c r="EYL13" s="16"/>
      <c r="EYM13" s="16"/>
      <c r="EYN13" s="16"/>
      <c r="EYO13" s="16"/>
      <c r="EYP13" s="16"/>
      <c r="EYQ13" s="16"/>
      <c r="EYR13" s="16"/>
      <c r="EYS13" s="16"/>
      <c r="EYT13" s="16"/>
      <c r="EYU13" s="16"/>
      <c r="EYV13" s="16"/>
      <c r="EYW13" s="16"/>
      <c r="EYX13" s="16"/>
      <c r="EYY13" s="16"/>
      <c r="EYZ13" s="16"/>
      <c r="EZA13" s="16"/>
      <c r="EZB13" s="16"/>
      <c r="EZC13" s="16"/>
      <c r="EZD13" s="16"/>
      <c r="EZE13" s="16"/>
      <c r="EZF13" s="16"/>
      <c r="EZG13" s="16"/>
      <c r="EZH13" s="16"/>
      <c r="EZI13" s="16"/>
      <c r="EZJ13" s="16"/>
      <c r="EZK13" s="16"/>
      <c r="EZL13" s="16"/>
      <c r="EZM13" s="16"/>
      <c r="EZN13" s="16"/>
      <c r="EZO13" s="16"/>
      <c r="EZP13" s="16"/>
      <c r="EZQ13" s="16"/>
      <c r="EZR13" s="16"/>
      <c r="EZS13" s="16"/>
      <c r="EZT13" s="16"/>
      <c r="EZU13" s="16"/>
      <c r="EZV13" s="16"/>
      <c r="EZW13" s="16"/>
      <c r="EZX13" s="16"/>
      <c r="EZY13" s="16"/>
      <c r="EZZ13" s="16"/>
      <c r="FAA13" s="16"/>
      <c r="FAB13" s="16"/>
      <c r="FAC13" s="16"/>
      <c r="FAD13" s="16"/>
      <c r="FAE13" s="16"/>
      <c r="FAF13" s="16"/>
      <c r="FAG13" s="16"/>
      <c r="FAH13" s="16"/>
      <c r="FAI13" s="16"/>
      <c r="FAJ13" s="16"/>
      <c r="FAK13" s="16"/>
      <c r="FAL13" s="16"/>
      <c r="FAM13" s="16"/>
      <c r="FAN13" s="16"/>
      <c r="FAO13" s="16"/>
      <c r="FAP13" s="16"/>
      <c r="FAQ13" s="16"/>
      <c r="FAR13" s="16"/>
      <c r="FAS13" s="16"/>
      <c r="FAT13" s="16"/>
      <c r="FAU13" s="16"/>
      <c r="FAV13" s="16"/>
      <c r="FAW13" s="16"/>
      <c r="FAX13" s="16"/>
      <c r="FAY13" s="16"/>
      <c r="FAZ13" s="16"/>
      <c r="FBA13" s="16"/>
      <c r="FBB13" s="16"/>
      <c r="FBC13" s="16"/>
      <c r="FBD13" s="16"/>
      <c r="FBE13" s="16"/>
      <c r="FBF13" s="16"/>
      <c r="FBG13" s="16"/>
      <c r="FBH13" s="16"/>
      <c r="FBI13" s="16"/>
      <c r="FBJ13" s="16"/>
      <c r="FBK13" s="16"/>
      <c r="FBL13" s="16"/>
      <c r="FBM13" s="16"/>
      <c r="FBN13" s="16"/>
      <c r="FBO13" s="16"/>
      <c r="FBP13" s="16"/>
      <c r="FBQ13" s="16"/>
      <c r="FBR13" s="16"/>
      <c r="FBS13" s="16"/>
      <c r="FBT13" s="16"/>
      <c r="FBU13" s="16"/>
      <c r="FBV13" s="16"/>
      <c r="FBW13" s="16"/>
      <c r="FBX13" s="16"/>
      <c r="FBY13" s="16"/>
      <c r="FBZ13" s="16"/>
      <c r="FCA13" s="16"/>
      <c r="FCB13" s="16"/>
      <c r="FCC13" s="16"/>
      <c r="FCD13" s="16"/>
      <c r="FCE13" s="16"/>
      <c r="FCF13" s="16"/>
      <c r="FCG13" s="16"/>
      <c r="FCH13" s="16"/>
      <c r="FCI13" s="16"/>
      <c r="FCJ13" s="16"/>
      <c r="FCK13" s="16"/>
      <c r="FCL13" s="16"/>
      <c r="FCM13" s="16"/>
      <c r="FCN13" s="16"/>
      <c r="FCO13" s="16"/>
      <c r="FCP13" s="16"/>
      <c r="FCQ13" s="16"/>
      <c r="FCR13" s="16"/>
      <c r="FCS13" s="16"/>
      <c r="FCT13" s="16"/>
      <c r="FCU13" s="16"/>
      <c r="FCV13" s="16"/>
      <c r="FCW13" s="16"/>
      <c r="FCX13" s="16"/>
      <c r="FCY13" s="16"/>
      <c r="FCZ13" s="16"/>
      <c r="FDA13" s="16"/>
      <c r="FDB13" s="16"/>
      <c r="FDC13" s="16"/>
      <c r="FDD13" s="16"/>
      <c r="FDE13" s="16"/>
      <c r="FDF13" s="16"/>
      <c r="FDG13" s="16"/>
      <c r="FDH13" s="16"/>
      <c r="FDI13" s="16"/>
      <c r="FDJ13" s="16"/>
      <c r="FDK13" s="16"/>
      <c r="FDL13" s="16"/>
      <c r="FDM13" s="16"/>
      <c r="FDN13" s="16"/>
      <c r="FDO13" s="16"/>
      <c r="FDP13" s="16"/>
      <c r="FDQ13" s="16"/>
      <c r="FDR13" s="16"/>
      <c r="FDS13" s="16"/>
      <c r="FDT13" s="16"/>
      <c r="FDU13" s="16"/>
      <c r="FDV13" s="16"/>
      <c r="FDW13" s="16"/>
      <c r="FDX13" s="16"/>
      <c r="FDY13" s="16"/>
      <c r="FDZ13" s="16"/>
      <c r="FEA13" s="16"/>
      <c r="FEB13" s="16"/>
      <c r="FEC13" s="16"/>
      <c r="FED13" s="16"/>
      <c r="FEE13" s="16"/>
      <c r="FEF13" s="16"/>
      <c r="FEG13" s="16"/>
      <c r="FEH13" s="16"/>
      <c r="FEI13" s="16"/>
      <c r="FEJ13" s="16"/>
      <c r="FEK13" s="16"/>
      <c r="FEL13" s="16"/>
      <c r="FEM13" s="16"/>
      <c r="FEN13" s="16"/>
      <c r="FEO13" s="16"/>
      <c r="FEP13" s="16"/>
      <c r="FEQ13" s="16"/>
      <c r="FER13" s="16"/>
      <c r="FES13" s="16"/>
      <c r="FET13" s="16"/>
      <c r="FEU13" s="16"/>
      <c r="FEV13" s="16"/>
      <c r="FEW13" s="16"/>
      <c r="FEX13" s="16"/>
      <c r="FEY13" s="16"/>
      <c r="FEZ13" s="16"/>
      <c r="FFA13" s="16"/>
      <c r="FFB13" s="16"/>
      <c r="FFC13" s="16"/>
      <c r="FFD13" s="16"/>
      <c r="FFE13" s="16"/>
      <c r="FFF13" s="16"/>
      <c r="FFG13" s="16"/>
      <c r="FFH13" s="16"/>
      <c r="FFI13" s="16"/>
      <c r="FFJ13" s="16"/>
      <c r="FFK13" s="16"/>
      <c r="FFL13" s="16"/>
      <c r="FFM13" s="16"/>
      <c r="FFN13" s="16"/>
      <c r="FFO13" s="16"/>
      <c r="FFP13" s="16"/>
      <c r="FFQ13" s="16"/>
      <c r="FFR13" s="16"/>
      <c r="FFS13" s="16"/>
      <c r="FFT13" s="16"/>
      <c r="FFU13" s="16"/>
      <c r="FFV13" s="16"/>
      <c r="FFW13" s="16"/>
      <c r="FFX13" s="16"/>
      <c r="FFY13" s="16"/>
      <c r="FFZ13" s="16"/>
      <c r="FGA13" s="16"/>
      <c r="FGB13" s="16"/>
      <c r="FGC13" s="16"/>
      <c r="FGD13" s="16"/>
      <c r="FGE13" s="16"/>
      <c r="FGF13" s="16"/>
      <c r="FGG13" s="16"/>
      <c r="FGH13" s="16"/>
      <c r="FGI13" s="16"/>
      <c r="FGJ13" s="16"/>
      <c r="FGK13" s="16"/>
      <c r="FGL13" s="16"/>
      <c r="FGM13" s="16"/>
      <c r="FGN13" s="16"/>
      <c r="FGO13" s="16"/>
      <c r="FGP13" s="16"/>
      <c r="FGQ13" s="16"/>
      <c r="FGR13" s="16"/>
      <c r="FGS13" s="16"/>
      <c r="FGT13" s="16"/>
      <c r="FGU13" s="16"/>
      <c r="FGV13" s="16"/>
      <c r="FGW13" s="16"/>
      <c r="FGX13" s="16"/>
      <c r="FGY13" s="16"/>
      <c r="FGZ13" s="16"/>
      <c r="FHA13" s="16"/>
      <c r="FHB13" s="16"/>
      <c r="FHC13" s="16"/>
      <c r="FHD13" s="16"/>
      <c r="FHE13" s="16"/>
      <c r="FHF13" s="16"/>
      <c r="FHG13" s="16"/>
      <c r="FHH13" s="16"/>
      <c r="FHI13" s="16"/>
      <c r="FHJ13" s="16"/>
      <c r="FHK13" s="16"/>
      <c r="FHL13" s="16"/>
      <c r="FHM13" s="16"/>
      <c r="FHN13" s="16"/>
      <c r="FHO13" s="16"/>
      <c r="FHP13" s="16"/>
      <c r="FHQ13" s="16"/>
      <c r="FHR13" s="16"/>
      <c r="FHS13" s="16"/>
      <c r="FHT13" s="16"/>
      <c r="FHU13" s="16"/>
      <c r="FHV13" s="16"/>
      <c r="FHW13" s="16"/>
      <c r="FHX13" s="16"/>
      <c r="FHY13" s="16"/>
      <c r="FHZ13" s="16"/>
      <c r="FIA13" s="16"/>
      <c r="FIB13" s="16"/>
      <c r="FIC13" s="16"/>
      <c r="FID13" s="16"/>
      <c r="FIE13" s="16"/>
      <c r="FIF13" s="16"/>
      <c r="FIG13" s="16"/>
      <c r="FIH13" s="16"/>
      <c r="FII13" s="16"/>
      <c r="FIJ13" s="16"/>
      <c r="FIK13" s="16"/>
      <c r="FIL13" s="16"/>
      <c r="FIM13" s="16"/>
      <c r="FIN13" s="16"/>
      <c r="FIO13" s="16"/>
      <c r="FIP13" s="16"/>
      <c r="FIQ13" s="16"/>
      <c r="FIR13" s="16"/>
      <c r="FIS13" s="16"/>
      <c r="FIT13" s="16"/>
      <c r="FIU13" s="16"/>
      <c r="FIV13" s="16"/>
      <c r="FIW13" s="16"/>
      <c r="FIX13" s="16"/>
      <c r="FIY13" s="16"/>
      <c r="FIZ13" s="16"/>
      <c r="FJA13" s="16"/>
      <c r="FJB13" s="16"/>
      <c r="FJC13" s="16"/>
      <c r="FJD13" s="16"/>
      <c r="FJE13" s="16"/>
      <c r="FJF13" s="16"/>
      <c r="FJG13" s="16"/>
      <c r="FJH13" s="16"/>
      <c r="FJI13" s="16"/>
      <c r="FJJ13" s="16"/>
      <c r="FJK13" s="16"/>
      <c r="FJL13" s="16"/>
      <c r="FJM13" s="16"/>
      <c r="FJN13" s="16"/>
      <c r="FJO13" s="16"/>
      <c r="FJP13" s="16"/>
      <c r="FJQ13" s="16"/>
      <c r="FJR13" s="16"/>
      <c r="FJS13" s="16"/>
      <c r="FJT13" s="16"/>
      <c r="FJU13" s="16"/>
      <c r="FJV13" s="16"/>
      <c r="FJW13" s="16"/>
      <c r="FJX13" s="16"/>
      <c r="FJY13" s="16"/>
      <c r="FJZ13" s="16"/>
      <c r="FKA13" s="16"/>
      <c r="FKB13" s="16"/>
      <c r="FKC13" s="16"/>
      <c r="FKD13" s="16"/>
      <c r="FKE13" s="16"/>
      <c r="FKF13" s="16"/>
      <c r="FKG13" s="16"/>
      <c r="FKH13" s="16"/>
      <c r="FKI13" s="16"/>
      <c r="FKJ13" s="16"/>
      <c r="FKK13" s="16"/>
      <c r="FKL13" s="16"/>
      <c r="FKM13" s="16"/>
      <c r="FKN13" s="16"/>
      <c r="FKO13" s="16"/>
      <c r="FKP13" s="16"/>
      <c r="FKQ13" s="16"/>
      <c r="FKR13" s="16"/>
      <c r="FKS13" s="16"/>
      <c r="FKT13" s="16"/>
      <c r="FKU13" s="16"/>
      <c r="FKV13" s="16"/>
      <c r="FKW13" s="16"/>
      <c r="FKX13" s="16"/>
      <c r="FKY13" s="16"/>
      <c r="FKZ13" s="16"/>
      <c r="FLA13" s="16"/>
      <c r="FLB13" s="16"/>
      <c r="FLC13" s="16"/>
      <c r="FLD13" s="16"/>
      <c r="FLE13" s="16"/>
      <c r="FLF13" s="16"/>
      <c r="FLG13" s="16"/>
      <c r="FLH13" s="16"/>
      <c r="FLI13" s="16"/>
      <c r="FLJ13" s="16"/>
      <c r="FLK13" s="16"/>
      <c r="FLL13" s="16"/>
      <c r="FLM13" s="16"/>
      <c r="FLN13" s="16"/>
      <c r="FLO13" s="16"/>
      <c r="FLP13" s="16"/>
      <c r="FLQ13" s="16"/>
      <c r="FLR13" s="16"/>
      <c r="FLS13" s="16"/>
      <c r="FLT13" s="16"/>
      <c r="FLU13" s="16"/>
      <c r="FLV13" s="16"/>
      <c r="FLW13" s="16"/>
      <c r="FLX13" s="16"/>
      <c r="FLY13" s="16"/>
      <c r="FLZ13" s="16"/>
      <c r="FMA13" s="16"/>
      <c r="FMB13" s="16"/>
      <c r="FMC13" s="16"/>
      <c r="FMD13" s="16"/>
      <c r="FME13" s="16"/>
      <c r="FMF13" s="16"/>
      <c r="FMG13" s="16"/>
      <c r="FMH13" s="16"/>
      <c r="FMI13" s="16"/>
      <c r="FMJ13" s="16"/>
      <c r="FMK13" s="16"/>
      <c r="FML13" s="16"/>
      <c r="FMM13" s="16"/>
      <c r="FMN13" s="16"/>
      <c r="FMO13" s="16"/>
      <c r="FMP13" s="16"/>
      <c r="FMQ13" s="16"/>
      <c r="FMR13" s="16"/>
      <c r="FMS13" s="16"/>
      <c r="FMT13" s="16"/>
      <c r="FMU13" s="16"/>
      <c r="FMV13" s="16"/>
      <c r="FMW13" s="16"/>
      <c r="FMX13" s="16"/>
      <c r="FMY13" s="16"/>
      <c r="FMZ13" s="16"/>
      <c r="FNA13" s="16"/>
      <c r="FNB13" s="16"/>
      <c r="FNC13" s="16"/>
      <c r="FND13" s="16"/>
      <c r="FNE13" s="16"/>
      <c r="FNF13" s="16"/>
      <c r="FNG13" s="16"/>
      <c r="FNH13" s="16"/>
      <c r="FNI13" s="16"/>
      <c r="FNJ13" s="16"/>
      <c r="FNK13" s="16"/>
      <c r="FNL13" s="16"/>
      <c r="FNM13" s="16"/>
      <c r="FNN13" s="16"/>
      <c r="FNO13" s="16"/>
      <c r="FNP13" s="16"/>
      <c r="FNQ13" s="16"/>
      <c r="FNR13" s="16"/>
      <c r="FNS13" s="16"/>
      <c r="FNT13" s="16"/>
      <c r="FNU13" s="16"/>
      <c r="FNV13" s="16"/>
      <c r="FNW13" s="16"/>
      <c r="FNX13" s="16"/>
      <c r="FNY13" s="16"/>
      <c r="FNZ13" s="16"/>
      <c r="FOA13" s="16"/>
      <c r="FOB13" s="16"/>
      <c r="FOC13" s="16"/>
      <c r="FOD13" s="16"/>
      <c r="FOE13" s="16"/>
      <c r="FOF13" s="16"/>
      <c r="FOG13" s="16"/>
      <c r="FOH13" s="16"/>
      <c r="FOI13" s="16"/>
      <c r="FOJ13" s="16"/>
      <c r="FOK13" s="16"/>
      <c r="FOL13" s="16"/>
      <c r="FOM13" s="16"/>
      <c r="FON13" s="16"/>
      <c r="FOO13" s="16"/>
      <c r="FOP13" s="16"/>
      <c r="FOQ13" s="16"/>
      <c r="FOR13" s="16"/>
      <c r="FOS13" s="16"/>
      <c r="FOT13" s="16"/>
      <c r="FOU13" s="16"/>
      <c r="FOV13" s="16"/>
      <c r="FOW13" s="16"/>
      <c r="FOX13" s="16"/>
      <c r="FOY13" s="16"/>
      <c r="FOZ13" s="16"/>
      <c r="FPA13" s="16"/>
      <c r="FPB13" s="16"/>
      <c r="FPC13" s="16"/>
      <c r="FPD13" s="16"/>
      <c r="FPE13" s="16"/>
      <c r="FPF13" s="16"/>
      <c r="FPG13" s="16"/>
      <c r="FPH13" s="16"/>
      <c r="FPI13" s="16"/>
      <c r="FPJ13" s="16"/>
      <c r="FPK13" s="16"/>
      <c r="FPL13" s="16"/>
      <c r="FPM13" s="16"/>
      <c r="FPN13" s="16"/>
      <c r="FPO13" s="16"/>
      <c r="FPP13" s="16"/>
      <c r="FPQ13" s="16"/>
      <c r="FPR13" s="16"/>
      <c r="FPS13" s="16"/>
      <c r="FPT13" s="16"/>
      <c r="FPU13" s="16"/>
      <c r="FPV13" s="16"/>
      <c r="FPW13" s="16"/>
      <c r="FPX13" s="16"/>
      <c r="FPY13" s="16"/>
      <c r="FPZ13" s="16"/>
      <c r="FQA13" s="16"/>
      <c r="FQB13" s="16"/>
      <c r="FQC13" s="16"/>
      <c r="FQD13" s="16"/>
      <c r="FQE13" s="16"/>
      <c r="FQF13" s="16"/>
      <c r="FQG13" s="16"/>
      <c r="FQH13" s="16"/>
      <c r="FQI13" s="16"/>
      <c r="FQJ13" s="16"/>
      <c r="FQK13" s="16"/>
      <c r="FQL13" s="16"/>
      <c r="FQM13" s="16"/>
      <c r="FQN13" s="16"/>
      <c r="FQO13" s="16"/>
      <c r="FQP13" s="16"/>
      <c r="FQQ13" s="16"/>
      <c r="FQR13" s="16"/>
      <c r="FQS13" s="16"/>
      <c r="FQT13" s="16"/>
      <c r="FQU13" s="16"/>
      <c r="FQV13" s="16"/>
      <c r="FQW13" s="16"/>
      <c r="FQX13" s="16"/>
      <c r="FQY13" s="16"/>
      <c r="FQZ13" s="16"/>
      <c r="FRA13" s="16"/>
      <c r="FRB13" s="16"/>
      <c r="FRC13" s="16"/>
      <c r="FRD13" s="16"/>
      <c r="FRE13" s="16"/>
      <c r="FRF13" s="16"/>
      <c r="FRG13" s="16"/>
      <c r="FRH13" s="16"/>
      <c r="FRI13" s="16"/>
      <c r="FRJ13" s="16"/>
      <c r="FRK13" s="16"/>
      <c r="FRL13" s="16"/>
      <c r="FRM13" s="16"/>
      <c r="FRN13" s="16"/>
      <c r="FRO13" s="16"/>
      <c r="FRP13" s="16"/>
      <c r="FRQ13" s="16"/>
      <c r="FRR13" s="16"/>
      <c r="FRS13" s="16"/>
      <c r="FRT13" s="16"/>
      <c r="FRU13" s="16"/>
      <c r="FRV13" s="16"/>
      <c r="FRW13" s="16"/>
      <c r="FRX13" s="16"/>
      <c r="FRY13" s="16"/>
      <c r="FRZ13" s="16"/>
      <c r="FSA13" s="16"/>
      <c r="FSB13" s="16"/>
      <c r="FSC13" s="16"/>
      <c r="FSD13" s="16"/>
      <c r="FSE13" s="16"/>
      <c r="FSF13" s="16"/>
      <c r="FSG13" s="16"/>
      <c r="FSH13" s="16"/>
      <c r="FSI13" s="16"/>
      <c r="FSJ13" s="16"/>
      <c r="FSK13" s="16"/>
      <c r="FSL13" s="16"/>
      <c r="FSM13" s="16"/>
      <c r="FSN13" s="16"/>
      <c r="FSO13" s="16"/>
      <c r="FSP13" s="16"/>
      <c r="FSQ13" s="16"/>
      <c r="FSR13" s="16"/>
      <c r="FSS13" s="16"/>
      <c r="FST13" s="16"/>
      <c r="FSU13" s="16"/>
      <c r="FSV13" s="16"/>
      <c r="FSW13" s="16"/>
      <c r="FSX13" s="16"/>
      <c r="FSY13" s="16"/>
      <c r="FSZ13" s="16"/>
      <c r="FTA13" s="16"/>
      <c r="FTB13" s="16"/>
      <c r="FTC13" s="16"/>
      <c r="FTD13" s="16"/>
      <c r="FTE13" s="16"/>
      <c r="FTF13" s="16"/>
      <c r="FTG13" s="16"/>
      <c r="FTH13" s="16"/>
      <c r="FTI13" s="16"/>
      <c r="FTJ13" s="16"/>
      <c r="FTK13" s="16"/>
      <c r="FTL13" s="16"/>
      <c r="FTM13" s="16"/>
      <c r="FTN13" s="16"/>
      <c r="FTO13" s="16"/>
      <c r="FTP13" s="16"/>
      <c r="FTQ13" s="16"/>
      <c r="FTR13" s="16"/>
      <c r="FTS13" s="16"/>
      <c r="FTT13" s="16"/>
      <c r="FTU13" s="16"/>
      <c r="FTV13" s="16"/>
      <c r="FTW13" s="16"/>
      <c r="FTX13" s="16"/>
      <c r="FTY13" s="16"/>
      <c r="FTZ13" s="16"/>
      <c r="FUA13" s="16"/>
      <c r="FUB13" s="16"/>
      <c r="FUC13" s="16"/>
      <c r="FUD13" s="16"/>
      <c r="FUE13" s="16"/>
      <c r="FUF13" s="16"/>
      <c r="FUG13" s="16"/>
      <c r="FUH13" s="16"/>
      <c r="FUI13" s="16"/>
      <c r="FUJ13" s="16"/>
      <c r="FUK13" s="16"/>
      <c r="FUL13" s="16"/>
      <c r="FUM13" s="16"/>
      <c r="FUN13" s="16"/>
      <c r="FUO13" s="16"/>
      <c r="FUP13" s="16"/>
      <c r="FUQ13" s="16"/>
      <c r="FUR13" s="16"/>
      <c r="FUS13" s="16"/>
      <c r="FUT13" s="16"/>
      <c r="FUU13" s="16"/>
      <c r="FUV13" s="16"/>
      <c r="FUW13" s="16"/>
      <c r="FUX13" s="16"/>
      <c r="FUY13" s="16"/>
      <c r="FUZ13" s="16"/>
      <c r="FVA13" s="16"/>
      <c r="FVB13" s="16"/>
      <c r="FVC13" s="16"/>
      <c r="FVD13" s="16"/>
      <c r="FVE13" s="16"/>
      <c r="FVF13" s="16"/>
      <c r="FVG13" s="16"/>
      <c r="FVH13" s="16"/>
      <c r="FVI13" s="16"/>
      <c r="FVJ13" s="16"/>
      <c r="FVK13" s="16"/>
      <c r="FVL13" s="16"/>
      <c r="FVM13" s="16"/>
      <c r="FVN13" s="16"/>
      <c r="FVO13" s="16"/>
      <c r="FVP13" s="16"/>
      <c r="FVQ13" s="16"/>
      <c r="FVR13" s="16"/>
      <c r="FVS13" s="16"/>
      <c r="FVT13" s="16"/>
      <c r="FVU13" s="16"/>
      <c r="FVV13" s="16"/>
      <c r="FVW13" s="16"/>
      <c r="FVX13" s="16"/>
      <c r="FVY13" s="16"/>
      <c r="FVZ13" s="16"/>
      <c r="FWA13" s="16"/>
      <c r="FWB13" s="16"/>
      <c r="FWC13" s="16"/>
      <c r="FWD13" s="16"/>
      <c r="FWE13" s="16"/>
      <c r="FWF13" s="16"/>
      <c r="FWG13" s="16"/>
      <c r="FWH13" s="16"/>
      <c r="FWI13" s="16"/>
      <c r="FWJ13" s="16"/>
      <c r="FWK13" s="16"/>
      <c r="FWL13" s="16"/>
      <c r="FWM13" s="16"/>
      <c r="FWN13" s="16"/>
      <c r="FWO13" s="16"/>
      <c r="FWP13" s="16"/>
      <c r="FWQ13" s="16"/>
      <c r="FWR13" s="16"/>
      <c r="FWS13" s="16"/>
      <c r="FWT13" s="16"/>
      <c r="FWU13" s="16"/>
      <c r="FWV13" s="16"/>
      <c r="FWW13" s="16"/>
      <c r="FWX13" s="16"/>
      <c r="FWY13" s="16"/>
      <c r="FWZ13" s="16"/>
      <c r="FXA13" s="16"/>
      <c r="FXB13" s="16"/>
      <c r="FXC13" s="16"/>
      <c r="FXD13" s="16"/>
      <c r="FXE13" s="16"/>
      <c r="FXF13" s="16"/>
      <c r="FXG13" s="16"/>
      <c r="FXH13" s="16"/>
      <c r="FXI13" s="16"/>
      <c r="FXJ13" s="16"/>
      <c r="FXK13" s="16"/>
      <c r="FXL13" s="16"/>
      <c r="FXM13" s="16"/>
      <c r="FXN13" s="16"/>
      <c r="FXO13" s="16"/>
      <c r="FXP13" s="16"/>
      <c r="FXQ13" s="16"/>
      <c r="FXR13" s="16"/>
      <c r="FXS13" s="16"/>
      <c r="FXT13" s="16"/>
      <c r="FXU13" s="16"/>
      <c r="FXV13" s="16"/>
      <c r="FXW13" s="16"/>
      <c r="FXX13" s="16"/>
      <c r="FXY13" s="16"/>
      <c r="FXZ13" s="16"/>
      <c r="FYA13" s="16"/>
      <c r="FYB13" s="16"/>
      <c r="FYC13" s="16"/>
      <c r="FYD13" s="16"/>
      <c r="FYE13" s="16"/>
      <c r="FYF13" s="16"/>
      <c r="FYG13" s="16"/>
      <c r="FYH13" s="16"/>
      <c r="FYI13" s="16"/>
      <c r="FYJ13" s="16"/>
      <c r="FYK13" s="16"/>
      <c r="FYL13" s="16"/>
      <c r="FYM13" s="16"/>
      <c r="FYN13" s="16"/>
      <c r="FYO13" s="16"/>
      <c r="FYP13" s="16"/>
      <c r="FYQ13" s="16"/>
      <c r="FYR13" s="16"/>
      <c r="FYS13" s="16"/>
      <c r="FYT13" s="16"/>
      <c r="FYU13" s="16"/>
      <c r="FYV13" s="16"/>
      <c r="FYW13" s="16"/>
      <c r="FYX13" s="16"/>
      <c r="FYY13" s="16"/>
      <c r="FYZ13" s="16"/>
      <c r="FZA13" s="16"/>
      <c r="FZB13" s="16"/>
      <c r="FZC13" s="16"/>
      <c r="FZD13" s="16"/>
      <c r="FZE13" s="16"/>
      <c r="FZF13" s="16"/>
      <c r="FZG13" s="16"/>
      <c r="FZH13" s="16"/>
      <c r="FZI13" s="16"/>
      <c r="FZJ13" s="16"/>
      <c r="FZK13" s="16"/>
      <c r="FZL13" s="16"/>
      <c r="FZM13" s="16"/>
      <c r="FZN13" s="16"/>
      <c r="FZO13" s="16"/>
      <c r="FZP13" s="16"/>
      <c r="FZQ13" s="16"/>
      <c r="FZR13" s="16"/>
      <c r="FZS13" s="16"/>
      <c r="FZT13" s="16"/>
      <c r="FZU13" s="16"/>
      <c r="FZV13" s="16"/>
      <c r="FZW13" s="16"/>
      <c r="FZX13" s="16"/>
      <c r="FZY13" s="16"/>
      <c r="FZZ13" s="16"/>
      <c r="GAA13" s="16"/>
      <c r="GAB13" s="16"/>
      <c r="GAC13" s="16"/>
      <c r="GAD13" s="16"/>
      <c r="GAE13" s="16"/>
      <c r="GAF13" s="16"/>
      <c r="GAG13" s="16"/>
      <c r="GAH13" s="16"/>
      <c r="GAI13" s="16"/>
      <c r="GAJ13" s="16"/>
      <c r="GAK13" s="16"/>
      <c r="GAL13" s="16"/>
      <c r="GAM13" s="16"/>
      <c r="GAN13" s="16"/>
      <c r="GAO13" s="16"/>
      <c r="GAP13" s="16"/>
      <c r="GAQ13" s="16"/>
      <c r="GAR13" s="16"/>
      <c r="GAS13" s="16"/>
      <c r="GAT13" s="16"/>
      <c r="GAU13" s="16"/>
      <c r="GAV13" s="16"/>
      <c r="GAW13" s="16"/>
      <c r="GAX13" s="16"/>
      <c r="GAY13" s="16"/>
      <c r="GAZ13" s="16"/>
      <c r="GBA13" s="16"/>
      <c r="GBB13" s="16"/>
      <c r="GBC13" s="16"/>
      <c r="GBD13" s="16"/>
      <c r="GBE13" s="16"/>
      <c r="GBF13" s="16"/>
      <c r="GBG13" s="16"/>
      <c r="GBH13" s="16"/>
      <c r="GBI13" s="16"/>
      <c r="GBJ13" s="16"/>
      <c r="GBK13" s="16"/>
      <c r="GBL13" s="16"/>
      <c r="GBM13" s="16"/>
      <c r="GBN13" s="16"/>
      <c r="GBO13" s="16"/>
      <c r="GBP13" s="16"/>
      <c r="GBQ13" s="16"/>
      <c r="GBR13" s="16"/>
      <c r="GBS13" s="16"/>
      <c r="GBT13" s="16"/>
      <c r="GBU13" s="16"/>
      <c r="GBV13" s="16"/>
      <c r="GBW13" s="16"/>
      <c r="GBX13" s="16"/>
      <c r="GBY13" s="16"/>
      <c r="GBZ13" s="16"/>
      <c r="GCA13" s="16"/>
      <c r="GCB13" s="16"/>
      <c r="GCC13" s="16"/>
      <c r="GCD13" s="16"/>
      <c r="GCE13" s="16"/>
      <c r="GCF13" s="16"/>
      <c r="GCG13" s="16"/>
      <c r="GCH13" s="16"/>
      <c r="GCI13" s="16"/>
      <c r="GCJ13" s="16"/>
      <c r="GCK13" s="16"/>
      <c r="GCL13" s="16"/>
      <c r="GCM13" s="16"/>
      <c r="GCN13" s="16"/>
      <c r="GCO13" s="16"/>
      <c r="GCP13" s="16"/>
      <c r="GCQ13" s="16"/>
      <c r="GCR13" s="16"/>
      <c r="GCS13" s="16"/>
      <c r="GCT13" s="16"/>
      <c r="GCU13" s="16"/>
      <c r="GCV13" s="16"/>
      <c r="GCW13" s="16"/>
      <c r="GCX13" s="16"/>
      <c r="GCY13" s="16"/>
      <c r="GCZ13" s="16"/>
      <c r="GDA13" s="16"/>
      <c r="GDB13" s="16"/>
      <c r="GDC13" s="16"/>
      <c r="GDD13" s="16"/>
      <c r="GDE13" s="16"/>
      <c r="GDF13" s="16"/>
      <c r="GDG13" s="16"/>
      <c r="GDH13" s="16"/>
      <c r="GDI13" s="16"/>
      <c r="GDJ13" s="16"/>
      <c r="GDK13" s="16"/>
      <c r="GDL13" s="16"/>
      <c r="GDM13" s="16"/>
      <c r="GDN13" s="16"/>
      <c r="GDO13" s="16"/>
      <c r="GDP13" s="16"/>
      <c r="GDQ13" s="16"/>
      <c r="GDR13" s="16"/>
      <c r="GDS13" s="16"/>
      <c r="GDT13" s="16"/>
      <c r="GDU13" s="16"/>
      <c r="GDV13" s="16"/>
      <c r="GDW13" s="16"/>
      <c r="GDX13" s="16"/>
      <c r="GDY13" s="16"/>
      <c r="GDZ13" s="16"/>
      <c r="GEA13" s="16"/>
      <c r="GEB13" s="16"/>
      <c r="GEC13" s="16"/>
      <c r="GED13" s="16"/>
      <c r="GEE13" s="16"/>
      <c r="GEF13" s="16"/>
      <c r="GEG13" s="16"/>
      <c r="GEH13" s="16"/>
      <c r="GEI13" s="16"/>
      <c r="GEJ13" s="16"/>
      <c r="GEK13" s="16"/>
      <c r="GEL13" s="16"/>
      <c r="GEM13" s="16"/>
      <c r="GEN13" s="16"/>
      <c r="GEO13" s="16"/>
      <c r="GEP13" s="16"/>
      <c r="GEQ13" s="16"/>
      <c r="GER13" s="16"/>
      <c r="GES13" s="16"/>
      <c r="GET13" s="16"/>
      <c r="GEU13" s="16"/>
      <c r="GEV13" s="16"/>
      <c r="GEW13" s="16"/>
      <c r="GEX13" s="16"/>
      <c r="GEY13" s="16"/>
      <c r="GEZ13" s="16"/>
      <c r="GFA13" s="16"/>
      <c r="GFB13" s="16"/>
      <c r="GFC13" s="16"/>
      <c r="GFD13" s="16"/>
      <c r="GFE13" s="16"/>
      <c r="GFF13" s="16"/>
      <c r="GFG13" s="16"/>
      <c r="GFH13" s="16"/>
      <c r="GFI13" s="16"/>
      <c r="GFJ13" s="16"/>
      <c r="GFK13" s="16"/>
      <c r="GFL13" s="16"/>
      <c r="GFM13" s="16"/>
      <c r="GFN13" s="16"/>
      <c r="GFO13" s="16"/>
      <c r="GFP13" s="16"/>
      <c r="GFQ13" s="16"/>
      <c r="GFR13" s="16"/>
      <c r="GFS13" s="16"/>
      <c r="GFT13" s="16"/>
      <c r="GFU13" s="16"/>
      <c r="GFV13" s="16"/>
      <c r="GFW13" s="16"/>
      <c r="GFX13" s="16"/>
      <c r="GFY13" s="16"/>
      <c r="GFZ13" s="16"/>
      <c r="GGA13" s="16"/>
      <c r="GGB13" s="16"/>
      <c r="GGC13" s="16"/>
      <c r="GGD13" s="16"/>
      <c r="GGE13" s="16"/>
      <c r="GGF13" s="16"/>
      <c r="GGG13" s="16"/>
      <c r="GGH13" s="16"/>
      <c r="GGI13" s="16"/>
      <c r="GGJ13" s="16"/>
      <c r="GGK13" s="16"/>
      <c r="GGL13" s="16"/>
      <c r="GGM13" s="16"/>
      <c r="GGN13" s="16"/>
      <c r="GGO13" s="16"/>
      <c r="GGP13" s="16"/>
      <c r="GGQ13" s="16"/>
      <c r="GGR13" s="16"/>
      <c r="GGS13" s="16"/>
      <c r="GGT13" s="16"/>
      <c r="GGU13" s="16"/>
      <c r="GGV13" s="16"/>
      <c r="GGW13" s="16"/>
      <c r="GGX13" s="16"/>
      <c r="GGY13" s="16"/>
      <c r="GGZ13" s="16"/>
      <c r="GHA13" s="16"/>
      <c r="GHB13" s="16"/>
      <c r="GHC13" s="16"/>
      <c r="GHD13" s="16"/>
      <c r="GHE13" s="16"/>
      <c r="GHF13" s="16"/>
      <c r="GHG13" s="16"/>
      <c r="GHH13" s="16"/>
      <c r="GHI13" s="16"/>
      <c r="GHJ13" s="16"/>
      <c r="GHK13" s="16"/>
      <c r="GHL13" s="16"/>
      <c r="GHM13" s="16"/>
      <c r="GHN13" s="16"/>
      <c r="GHO13" s="16"/>
      <c r="GHP13" s="16"/>
      <c r="GHQ13" s="16"/>
      <c r="GHR13" s="16"/>
      <c r="GHS13" s="16"/>
      <c r="GHT13" s="16"/>
      <c r="GHU13" s="16"/>
      <c r="GHV13" s="16"/>
      <c r="GHW13" s="16"/>
      <c r="GHX13" s="16"/>
      <c r="GHY13" s="16"/>
      <c r="GHZ13" s="16"/>
      <c r="GIA13" s="16"/>
      <c r="GIB13" s="16"/>
      <c r="GIC13" s="16"/>
      <c r="GID13" s="16"/>
      <c r="GIE13" s="16"/>
      <c r="GIF13" s="16"/>
      <c r="GIG13" s="16"/>
      <c r="GIH13" s="16"/>
      <c r="GII13" s="16"/>
      <c r="GIJ13" s="16"/>
      <c r="GIK13" s="16"/>
      <c r="GIL13" s="16"/>
      <c r="GIM13" s="16"/>
      <c r="GIN13" s="16"/>
      <c r="GIO13" s="16"/>
      <c r="GIP13" s="16"/>
      <c r="GIQ13" s="16"/>
      <c r="GIR13" s="16"/>
      <c r="GIS13" s="16"/>
      <c r="GIT13" s="16"/>
      <c r="GIU13" s="16"/>
      <c r="GIV13" s="16"/>
      <c r="GIW13" s="16"/>
      <c r="GIX13" s="16"/>
      <c r="GIY13" s="16"/>
      <c r="GIZ13" s="16"/>
      <c r="GJA13" s="16"/>
      <c r="GJB13" s="16"/>
      <c r="GJC13" s="16"/>
      <c r="GJD13" s="16"/>
      <c r="GJE13" s="16"/>
      <c r="GJF13" s="16"/>
      <c r="GJG13" s="16"/>
      <c r="GJH13" s="16"/>
      <c r="GJI13" s="16"/>
      <c r="GJJ13" s="16"/>
      <c r="GJK13" s="16"/>
      <c r="GJL13" s="16"/>
      <c r="GJM13" s="16"/>
      <c r="GJN13" s="16"/>
      <c r="GJO13" s="16"/>
      <c r="GJP13" s="16"/>
      <c r="GJQ13" s="16"/>
      <c r="GJR13" s="16"/>
      <c r="GJS13" s="16"/>
      <c r="GJT13" s="16"/>
      <c r="GJU13" s="16"/>
      <c r="GJV13" s="16"/>
      <c r="GJW13" s="16"/>
      <c r="GJX13" s="16"/>
      <c r="GJY13" s="16"/>
      <c r="GJZ13" s="16"/>
      <c r="GKA13" s="16"/>
      <c r="GKB13" s="16"/>
      <c r="GKC13" s="16"/>
      <c r="GKD13" s="16"/>
      <c r="GKE13" s="16"/>
      <c r="GKF13" s="16"/>
      <c r="GKG13" s="16"/>
      <c r="GKH13" s="16"/>
      <c r="GKI13" s="16"/>
      <c r="GKJ13" s="16"/>
      <c r="GKK13" s="16"/>
      <c r="GKL13" s="16"/>
      <c r="GKM13" s="16"/>
      <c r="GKN13" s="16"/>
      <c r="GKO13" s="16"/>
      <c r="GKP13" s="16"/>
      <c r="GKQ13" s="16"/>
      <c r="GKR13" s="16"/>
      <c r="GKS13" s="16"/>
      <c r="GKT13" s="16"/>
      <c r="GKU13" s="16"/>
      <c r="GKV13" s="16"/>
      <c r="GKW13" s="16"/>
      <c r="GKX13" s="16"/>
      <c r="GKY13" s="16"/>
      <c r="GKZ13" s="16"/>
      <c r="GLA13" s="16"/>
      <c r="GLB13" s="16"/>
      <c r="GLC13" s="16"/>
      <c r="GLD13" s="16"/>
      <c r="GLE13" s="16"/>
      <c r="GLF13" s="16"/>
      <c r="GLG13" s="16"/>
      <c r="GLH13" s="16"/>
      <c r="GLI13" s="16"/>
      <c r="GLJ13" s="16"/>
      <c r="GLK13" s="16"/>
      <c r="GLL13" s="16"/>
      <c r="GLM13" s="16"/>
      <c r="GLN13" s="16"/>
      <c r="GLO13" s="16"/>
      <c r="GLP13" s="16"/>
      <c r="GLQ13" s="16"/>
      <c r="GLR13" s="16"/>
      <c r="GLS13" s="16"/>
      <c r="GLT13" s="16"/>
      <c r="GLU13" s="16"/>
      <c r="GLV13" s="16"/>
      <c r="GLW13" s="16"/>
      <c r="GLX13" s="16"/>
      <c r="GLY13" s="16"/>
      <c r="GLZ13" s="16"/>
      <c r="GMA13" s="16"/>
      <c r="GMB13" s="16"/>
      <c r="GMC13" s="16"/>
      <c r="GMD13" s="16"/>
      <c r="GME13" s="16"/>
      <c r="GMF13" s="16"/>
      <c r="GMG13" s="16"/>
      <c r="GMH13" s="16"/>
      <c r="GMI13" s="16"/>
      <c r="GMJ13" s="16"/>
      <c r="GMK13" s="16"/>
      <c r="GML13" s="16"/>
      <c r="GMM13" s="16"/>
      <c r="GMN13" s="16"/>
      <c r="GMO13" s="16"/>
      <c r="GMP13" s="16"/>
      <c r="GMQ13" s="16"/>
      <c r="GMR13" s="16"/>
      <c r="GMS13" s="16"/>
      <c r="GMT13" s="16"/>
      <c r="GMU13" s="16"/>
      <c r="GMV13" s="16"/>
      <c r="GMW13" s="16"/>
      <c r="GMX13" s="16"/>
      <c r="GMY13" s="16"/>
      <c r="GMZ13" s="16"/>
      <c r="GNA13" s="16"/>
      <c r="GNB13" s="16"/>
      <c r="GNC13" s="16"/>
      <c r="GND13" s="16"/>
      <c r="GNE13" s="16"/>
      <c r="GNF13" s="16"/>
      <c r="GNG13" s="16"/>
      <c r="GNH13" s="16"/>
      <c r="GNI13" s="16"/>
      <c r="GNJ13" s="16"/>
      <c r="GNK13" s="16"/>
      <c r="GNL13" s="16"/>
      <c r="GNM13" s="16"/>
      <c r="GNN13" s="16"/>
      <c r="GNO13" s="16"/>
      <c r="GNP13" s="16"/>
      <c r="GNQ13" s="16"/>
      <c r="GNR13" s="16"/>
      <c r="GNS13" s="16"/>
      <c r="GNT13" s="16"/>
      <c r="GNU13" s="16"/>
      <c r="GNV13" s="16"/>
      <c r="GNW13" s="16"/>
      <c r="GNX13" s="16"/>
      <c r="GNY13" s="16"/>
      <c r="GNZ13" s="16"/>
      <c r="GOA13" s="16"/>
      <c r="GOB13" s="16"/>
      <c r="GOC13" s="16"/>
      <c r="GOD13" s="16"/>
      <c r="GOE13" s="16"/>
      <c r="GOF13" s="16"/>
      <c r="GOG13" s="16"/>
      <c r="GOH13" s="16"/>
      <c r="GOI13" s="16"/>
      <c r="GOJ13" s="16"/>
      <c r="GOK13" s="16"/>
      <c r="GOL13" s="16"/>
      <c r="GOM13" s="16"/>
      <c r="GON13" s="16"/>
      <c r="GOO13" s="16"/>
      <c r="GOP13" s="16"/>
      <c r="GOQ13" s="16"/>
      <c r="GOR13" s="16"/>
      <c r="GOS13" s="16"/>
      <c r="GOT13" s="16"/>
      <c r="GOU13" s="16"/>
      <c r="GOV13" s="16"/>
      <c r="GOW13" s="16"/>
      <c r="GOX13" s="16"/>
      <c r="GOY13" s="16"/>
      <c r="GOZ13" s="16"/>
      <c r="GPA13" s="16"/>
      <c r="GPB13" s="16"/>
      <c r="GPC13" s="16"/>
      <c r="GPD13" s="16"/>
      <c r="GPE13" s="16"/>
      <c r="GPF13" s="16"/>
      <c r="GPG13" s="16"/>
      <c r="GPH13" s="16"/>
      <c r="GPI13" s="16"/>
      <c r="GPJ13" s="16"/>
      <c r="GPK13" s="16"/>
      <c r="GPL13" s="16"/>
      <c r="GPM13" s="16"/>
      <c r="GPN13" s="16"/>
      <c r="GPO13" s="16"/>
      <c r="GPP13" s="16"/>
      <c r="GPQ13" s="16"/>
      <c r="GPR13" s="16"/>
      <c r="GPS13" s="16"/>
      <c r="GPT13" s="16"/>
      <c r="GPU13" s="16"/>
      <c r="GPV13" s="16"/>
      <c r="GPW13" s="16"/>
      <c r="GPX13" s="16"/>
      <c r="GPY13" s="16"/>
      <c r="GPZ13" s="16"/>
      <c r="GQA13" s="16"/>
      <c r="GQB13" s="16"/>
      <c r="GQC13" s="16"/>
      <c r="GQD13" s="16"/>
      <c r="GQE13" s="16"/>
      <c r="GQF13" s="16"/>
      <c r="GQG13" s="16"/>
      <c r="GQH13" s="16"/>
      <c r="GQI13" s="16"/>
      <c r="GQJ13" s="16"/>
      <c r="GQK13" s="16"/>
      <c r="GQL13" s="16"/>
      <c r="GQM13" s="16"/>
      <c r="GQN13" s="16"/>
      <c r="GQO13" s="16"/>
      <c r="GQP13" s="16"/>
      <c r="GQQ13" s="16"/>
      <c r="GQR13" s="16"/>
      <c r="GQS13" s="16"/>
      <c r="GQT13" s="16"/>
      <c r="GQU13" s="16"/>
      <c r="GQV13" s="16"/>
      <c r="GQW13" s="16"/>
      <c r="GQX13" s="16"/>
      <c r="GQY13" s="16"/>
      <c r="GQZ13" s="16"/>
      <c r="GRA13" s="16"/>
      <c r="GRB13" s="16"/>
      <c r="GRC13" s="16"/>
      <c r="GRD13" s="16"/>
      <c r="GRE13" s="16"/>
      <c r="GRF13" s="16"/>
      <c r="GRG13" s="16"/>
      <c r="GRH13" s="16"/>
      <c r="GRI13" s="16"/>
      <c r="GRJ13" s="16"/>
      <c r="GRK13" s="16"/>
      <c r="GRL13" s="16"/>
      <c r="GRM13" s="16"/>
      <c r="GRN13" s="16"/>
      <c r="GRO13" s="16"/>
      <c r="GRP13" s="16"/>
      <c r="GRQ13" s="16"/>
      <c r="GRR13" s="16"/>
      <c r="GRS13" s="16"/>
      <c r="GRT13" s="16"/>
      <c r="GRU13" s="16"/>
      <c r="GRV13" s="16"/>
      <c r="GRW13" s="16"/>
      <c r="GRX13" s="16"/>
      <c r="GRY13" s="16"/>
      <c r="GRZ13" s="16"/>
      <c r="GSA13" s="16"/>
      <c r="GSB13" s="16"/>
      <c r="GSC13" s="16"/>
      <c r="GSD13" s="16"/>
      <c r="GSE13" s="16"/>
      <c r="GSF13" s="16"/>
      <c r="GSG13" s="16"/>
      <c r="GSH13" s="16"/>
      <c r="GSI13" s="16"/>
      <c r="GSJ13" s="16"/>
      <c r="GSK13" s="16"/>
      <c r="GSL13" s="16"/>
      <c r="GSM13" s="16"/>
      <c r="GSN13" s="16"/>
      <c r="GSO13" s="16"/>
      <c r="GSP13" s="16"/>
      <c r="GSQ13" s="16"/>
      <c r="GSR13" s="16"/>
      <c r="GSS13" s="16"/>
      <c r="GST13" s="16"/>
      <c r="GSU13" s="16"/>
      <c r="GSV13" s="16"/>
      <c r="GSW13" s="16"/>
      <c r="GSX13" s="16"/>
      <c r="GSY13" s="16"/>
      <c r="GSZ13" s="16"/>
      <c r="GTA13" s="16"/>
      <c r="GTB13" s="16"/>
      <c r="GTC13" s="16"/>
      <c r="GTD13" s="16"/>
      <c r="GTE13" s="16"/>
      <c r="GTF13" s="16"/>
      <c r="GTG13" s="16"/>
      <c r="GTH13" s="16"/>
      <c r="GTI13" s="16"/>
      <c r="GTJ13" s="16"/>
      <c r="GTK13" s="16"/>
      <c r="GTL13" s="16"/>
      <c r="GTM13" s="16"/>
      <c r="GTN13" s="16"/>
      <c r="GTO13" s="16"/>
      <c r="GTP13" s="16"/>
      <c r="GTQ13" s="16"/>
      <c r="GTR13" s="16"/>
      <c r="GTS13" s="16"/>
      <c r="GTT13" s="16"/>
      <c r="GTU13" s="16"/>
      <c r="GTV13" s="16"/>
      <c r="GTW13" s="16"/>
      <c r="GTX13" s="16"/>
      <c r="GTY13" s="16"/>
      <c r="GTZ13" s="16"/>
      <c r="GUA13" s="16"/>
      <c r="GUB13" s="16"/>
      <c r="GUC13" s="16"/>
      <c r="GUD13" s="16"/>
      <c r="GUE13" s="16"/>
      <c r="GUF13" s="16"/>
      <c r="GUG13" s="16"/>
      <c r="GUH13" s="16"/>
      <c r="GUI13" s="16"/>
      <c r="GUJ13" s="16"/>
      <c r="GUK13" s="16"/>
      <c r="GUL13" s="16"/>
      <c r="GUM13" s="16"/>
      <c r="GUN13" s="16"/>
      <c r="GUO13" s="16"/>
      <c r="GUP13" s="16"/>
      <c r="GUQ13" s="16"/>
      <c r="GUR13" s="16"/>
      <c r="GUS13" s="16"/>
      <c r="GUT13" s="16"/>
      <c r="GUU13" s="16"/>
      <c r="GUV13" s="16"/>
      <c r="GUW13" s="16"/>
      <c r="GUX13" s="16"/>
      <c r="GUY13" s="16"/>
      <c r="GUZ13" s="16"/>
      <c r="GVA13" s="16"/>
      <c r="GVB13" s="16"/>
      <c r="GVC13" s="16"/>
      <c r="GVD13" s="16"/>
      <c r="GVE13" s="16"/>
      <c r="GVF13" s="16"/>
      <c r="GVG13" s="16"/>
      <c r="GVH13" s="16"/>
      <c r="GVI13" s="16"/>
      <c r="GVJ13" s="16"/>
      <c r="GVK13" s="16"/>
      <c r="GVL13" s="16"/>
      <c r="GVM13" s="16"/>
      <c r="GVN13" s="16"/>
      <c r="GVO13" s="16"/>
      <c r="GVP13" s="16"/>
      <c r="GVQ13" s="16"/>
      <c r="GVR13" s="16"/>
      <c r="GVS13" s="16"/>
      <c r="GVT13" s="16"/>
      <c r="GVU13" s="16"/>
      <c r="GVV13" s="16"/>
      <c r="GVW13" s="16"/>
      <c r="GVX13" s="16"/>
      <c r="GVY13" s="16"/>
      <c r="GVZ13" s="16"/>
      <c r="GWA13" s="16"/>
      <c r="GWB13" s="16"/>
      <c r="GWC13" s="16"/>
      <c r="GWD13" s="16"/>
      <c r="GWE13" s="16"/>
      <c r="GWF13" s="16"/>
      <c r="GWG13" s="16"/>
      <c r="GWH13" s="16"/>
      <c r="GWI13" s="16"/>
      <c r="GWJ13" s="16"/>
      <c r="GWK13" s="16"/>
      <c r="GWL13" s="16"/>
      <c r="GWM13" s="16"/>
      <c r="GWN13" s="16"/>
      <c r="GWO13" s="16"/>
      <c r="GWP13" s="16"/>
      <c r="GWQ13" s="16"/>
      <c r="GWR13" s="16"/>
      <c r="GWS13" s="16"/>
      <c r="GWT13" s="16"/>
      <c r="GWU13" s="16"/>
      <c r="GWV13" s="16"/>
      <c r="GWW13" s="16"/>
      <c r="GWX13" s="16"/>
      <c r="GWY13" s="16"/>
      <c r="GWZ13" s="16"/>
      <c r="GXA13" s="16"/>
      <c r="GXB13" s="16"/>
      <c r="GXC13" s="16"/>
      <c r="GXD13" s="16"/>
      <c r="GXE13" s="16"/>
      <c r="GXF13" s="16"/>
      <c r="GXG13" s="16"/>
      <c r="GXH13" s="16"/>
      <c r="GXI13" s="16"/>
      <c r="GXJ13" s="16"/>
      <c r="GXK13" s="16"/>
      <c r="GXL13" s="16"/>
      <c r="GXM13" s="16"/>
      <c r="GXN13" s="16"/>
      <c r="GXO13" s="16"/>
      <c r="GXP13" s="16"/>
      <c r="GXQ13" s="16"/>
      <c r="GXR13" s="16"/>
      <c r="GXS13" s="16"/>
      <c r="GXT13" s="16"/>
      <c r="GXU13" s="16"/>
      <c r="GXV13" s="16"/>
      <c r="GXW13" s="16"/>
      <c r="GXX13" s="16"/>
      <c r="GXY13" s="16"/>
      <c r="GXZ13" s="16"/>
      <c r="GYA13" s="16"/>
      <c r="GYB13" s="16"/>
      <c r="GYC13" s="16"/>
      <c r="GYD13" s="16"/>
      <c r="GYE13" s="16"/>
      <c r="GYF13" s="16"/>
      <c r="GYG13" s="16"/>
      <c r="GYH13" s="16"/>
      <c r="GYI13" s="16"/>
      <c r="GYJ13" s="16"/>
      <c r="GYK13" s="16"/>
      <c r="GYL13" s="16"/>
      <c r="GYM13" s="16"/>
      <c r="GYN13" s="16"/>
      <c r="GYO13" s="16"/>
      <c r="GYP13" s="16"/>
      <c r="GYQ13" s="16"/>
      <c r="GYR13" s="16"/>
      <c r="GYS13" s="16"/>
      <c r="GYT13" s="16"/>
      <c r="GYU13" s="16"/>
      <c r="GYV13" s="16"/>
      <c r="GYW13" s="16"/>
      <c r="GYX13" s="16"/>
      <c r="GYY13" s="16"/>
      <c r="GYZ13" s="16"/>
      <c r="GZA13" s="16"/>
      <c r="GZB13" s="16"/>
      <c r="GZC13" s="16"/>
      <c r="GZD13" s="16"/>
      <c r="GZE13" s="16"/>
      <c r="GZF13" s="16"/>
      <c r="GZG13" s="16"/>
      <c r="GZH13" s="16"/>
      <c r="GZI13" s="16"/>
      <c r="GZJ13" s="16"/>
      <c r="GZK13" s="16"/>
      <c r="GZL13" s="16"/>
      <c r="GZM13" s="16"/>
      <c r="GZN13" s="16"/>
      <c r="GZO13" s="16"/>
      <c r="GZP13" s="16"/>
      <c r="GZQ13" s="16"/>
      <c r="GZR13" s="16"/>
      <c r="GZS13" s="16"/>
      <c r="GZT13" s="16"/>
      <c r="GZU13" s="16"/>
      <c r="GZV13" s="16"/>
      <c r="GZW13" s="16"/>
      <c r="GZX13" s="16"/>
      <c r="GZY13" s="16"/>
      <c r="GZZ13" s="16"/>
      <c r="HAA13" s="16"/>
      <c r="HAB13" s="16"/>
      <c r="HAC13" s="16"/>
      <c r="HAD13" s="16"/>
      <c r="HAE13" s="16"/>
      <c r="HAF13" s="16"/>
      <c r="HAG13" s="16"/>
      <c r="HAH13" s="16"/>
      <c r="HAI13" s="16"/>
      <c r="HAJ13" s="16"/>
      <c r="HAK13" s="16"/>
      <c r="HAL13" s="16"/>
      <c r="HAM13" s="16"/>
      <c r="HAN13" s="16"/>
      <c r="HAO13" s="16"/>
      <c r="HAP13" s="16"/>
      <c r="HAQ13" s="16"/>
      <c r="HAR13" s="16"/>
      <c r="HAS13" s="16"/>
      <c r="HAT13" s="16"/>
      <c r="HAU13" s="16"/>
      <c r="HAV13" s="16"/>
      <c r="HAW13" s="16"/>
      <c r="HAX13" s="16"/>
      <c r="HAY13" s="16"/>
      <c r="HAZ13" s="16"/>
      <c r="HBA13" s="16"/>
      <c r="HBB13" s="16"/>
      <c r="HBC13" s="16"/>
      <c r="HBD13" s="16"/>
      <c r="HBE13" s="16"/>
      <c r="HBF13" s="16"/>
      <c r="HBG13" s="16"/>
      <c r="HBH13" s="16"/>
      <c r="HBI13" s="16"/>
      <c r="HBJ13" s="16"/>
      <c r="HBK13" s="16"/>
      <c r="HBL13" s="16"/>
      <c r="HBM13" s="16"/>
      <c r="HBN13" s="16"/>
      <c r="HBO13" s="16"/>
      <c r="HBP13" s="16"/>
      <c r="HBQ13" s="16"/>
      <c r="HBR13" s="16"/>
      <c r="HBS13" s="16"/>
      <c r="HBT13" s="16"/>
      <c r="HBU13" s="16"/>
      <c r="HBV13" s="16"/>
      <c r="HBW13" s="16"/>
      <c r="HBX13" s="16"/>
      <c r="HBY13" s="16"/>
      <c r="HBZ13" s="16"/>
      <c r="HCA13" s="16"/>
      <c r="HCB13" s="16"/>
      <c r="HCC13" s="16"/>
      <c r="HCD13" s="16"/>
      <c r="HCE13" s="16"/>
      <c r="HCF13" s="16"/>
      <c r="HCG13" s="16"/>
      <c r="HCH13" s="16"/>
      <c r="HCI13" s="16"/>
      <c r="HCJ13" s="16"/>
      <c r="HCK13" s="16"/>
      <c r="HCL13" s="16"/>
      <c r="HCM13" s="16"/>
      <c r="HCN13" s="16"/>
      <c r="HCO13" s="16"/>
      <c r="HCP13" s="16"/>
      <c r="HCQ13" s="16"/>
      <c r="HCR13" s="16"/>
      <c r="HCS13" s="16"/>
      <c r="HCT13" s="16"/>
      <c r="HCU13" s="16"/>
      <c r="HCV13" s="16"/>
      <c r="HCW13" s="16"/>
      <c r="HCX13" s="16"/>
      <c r="HCY13" s="16"/>
      <c r="HCZ13" s="16"/>
      <c r="HDA13" s="16"/>
      <c r="HDB13" s="16"/>
      <c r="HDC13" s="16"/>
      <c r="HDD13" s="16"/>
      <c r="HDE13" s="16"/>
      <c r="HDF13" s="16"/>
      <c r="HDG13" s="16"/>
      <c r="HDH13" s="16"/>
      <c r="HDI13" s="16"/>
      <c r="HDJ13" s="16"/>
      <c r="HDK13" s="16"/>
      <c r="HDL13" s="16"/>
      <c r="HDM13" s="16"/>
      <c r="HDN13" s="16"/>
      <c r="HDO13" s="16"/>
      <c r="HDP13" s="16"/>
      <c r="HDQ13" s="16"/>
      <c r="HDR13" s="16"/>
      <c r="HDS13" s="16"/>
      <c r="HDT13" s="16"/>
      <c r="HDU13" s="16"/>
      <c r="HDV13" s="16"/>
      <c r="HDW13" s="16"/>
      <c r="HDX13" s="16"/>
      <c r="HDY13" s="16"/>
      <c r="HDZ13" s="16"/>
      <c r="HEA13" s="16"/>
      <c r="HEB13" s="16"/>
      <c r="HEC13" s="16"/>
      <c r="HED13" s="16"/>
      <c r="HEE13" s="16"/>
      <c r="HEF13" s="16"/>
      <c r="HEG13" s="16"/>
      <c r="HEH13" s="16"/>
      <c r="HEI13" s="16"/>
      <c r="HEJ13" s="16"/>
      <c r="HEK13" s="16"/>
      <c r="HEL13" s="16"/>
      <c r="HEM13" s="16"/>
      <c r="HEN13" s="16"/>
      <c r="HEO13" s="16"/>
      <c r="HEP13" s="16"/>
      <c r="HEQ13" s="16"/>
      <c r="HER13" s="16"/>
      <c r="HES13" s="16"/>
      <c r="HET13" s="16"/>
      <c r="HEU13" s="16"/>
      <c r="HEV13" s="16"/>
      <c r="HEW13" s="16"/>
      <c r="HEX13" s="16"/>
      <c r="HEY13" s="16"/>
      <c r="HEZ13" s="16"/>
      <c r="HFA13" s="16"/>
      <c r="HFB13" s="16"/>
      <c r="HFC13" s="16"/>
      <c r="HFD13" s="16"/>
      <c r="HFE13" s="16"/>
      <c r="HFF13" s="16"/>
      <c r="HFG13" s="16"/>
      <c r="HFH13" s="16"/>
      <c r="HFI13" s="16"/>
      <c r="HFJ13" s="16"/>
      <c r="HFK13" s="16"/>
      <c r="HFL13" s="16"/>
      <c r="HFM13" s="16"/>
      <c r="HFN13" s="16"/>
      <c r="HFO13" s="16"/>
      <c r="HFP13" s="16"/>
      <c r="HFQ13" s="16"/>
      <c r="HFR13" s="16"/>
      <c r="HFS13" s="16"/>
      <c r="HFT13" s="16"/>
      <c r="HFU13" s="16"/>
      <c r="HFV13" s="16"/>
      <c r="HFW13" s="16"/>
      <c r="HFX13" s="16"/>
      <c r="HFY13" s="16"/>
      <c r="HFZ13" s="16"/>
      <c r="HGA13" s="16"/>
      <c r="HGB13" s="16"/>
      <c r="HGC13" s="16"/>
      <c r="HGD13" s="16"/>
      <c r="HGE13" s="16"/>
      <c r="HGF13" s="16"/>
      <c r="HGG13" s="16"/>
      <c r="HGH13" s="16"/>
      <c r="HGI13" s="16"/>
      <c r="HGJ13" s="16"/>
      <c r="HGK13" s="16"/>
      <c r="HGL13" s="16"/>
      <c r="HGM13" s="16"/>
      <c r="HGN13" s="16"/>
      <c r="HGO13" s="16"/>
      <c r="HGP13" s="16"/>
      <c r="HGQ13" s="16"/>
      <c r="HGR13" s="16"/>
      <c r="HGS13" s="16"/>
      <c r="HGT13" s="16"/>
      <c r="HGU13" s="16"/>
      <c r="HGV13" s="16"/>
      <c r="HGW13" s="16"/>
      <c r="HGX13" s="16"/>
      <c r="HGY13" s="16"/>
      <c r="HGZ13" s="16"/>
      <c r="HHA13" s="16"/>
      <c r="HHB13" s="16"/>
      <c r="HHC13" s="16"/>
      <c r="HHD13" s="16"/>
      <c r="HHE13" s="16"/>
      <c r="HHF13" s="16"/>
      <c r="HHG13" s="16"/>
      <c r="HHH13" s="16"/>
      <c r="HHI13" s="16"/>
      <c r="HHJ13" s="16"/>
      <c r="HHK13" s="16"/>
      <c r="HHL13" s="16"/>
      <c r="HHM13" s="16"/>
      <c r="HHN13" s="16"/>
      <c r="HHO13" s="16"/>
      <c r="HHP13" s="16"/>
      <c r="HHQ13" s="16"/>
      <c r="HHR13" s="16"/>
      <c r="HHS13" s="16"/>
      <c r="HHT13" s="16"/>
      <c r="HHU13" s="16"/>
      <c r="HHV13" s="16"/>
      <c r="HHW13" s="16"/>
      <c r="HHX13" s="16"/>
      <c r="HHY13" s="16"/>
      <c r="HHZ13" s="16"/>
      <c r="HIA13" s="16"/>
      <c r="HIB13" s="16"/>
      <c r="HIC13" s="16"/>
      <c r="HID13" s="16"/>
      <c r="HIE13" s="16"/>
      <c r="HIF13" s="16"/>
      <c r="HIG13" s="16"/>
      <c r="HIH13" s="16"/>
      <c r="HII13" s="16"/>
      <c r="HIJ13" s="16"/>
      <c r="HIK13" s="16"/>
      <c r="HIL13" s="16"/>
      <c r="HIM13" s="16"/>
      <c r="HIN13" s="16"/>
      <c r="HIO13" s="16"/>
      <c r="HIP13" s="16"/>
      <c r="HIQ13" s="16"/>
      <c r="HIR13" s="16"/>
      <c r="HIS13" s="16"/>
      <c r="HIT13" s="16"/>
      <c r="HIU13" s="16"/>
      <c r="HIV13" s="16"/>
      <c r="HIW13" s="16"/>
      <c r="HIX13" s="16"/>
      <c r="HIY13" s="16"/>
      <c r="HIZ13" s="16"/>
      <c r="HJA13" s="16"/>
      <c r="HJB13" s="16"/>
      <c r="HJC13" s="16"/>
      <c r="HJD13" s="16"/>
      <c r="HJE13" s="16"/>
      <c r="HJF13" s="16"/>
      <c r="HJG13" s="16"/>
      <c r="HJH13" s="16"/>
      <c r="HJI13" s="16"/>
      <c r="HJJ13" s="16"/>
      <c r="HJK13" s="16"/>
      <c r="HJL13" s="16"/>
      <c r="HJM13" s="16"/>
      <c r="HJN13" s="16"/>
      <c r="HJO13" s="16"/>
      <c r="HJP13" s="16"/>
      <c r="HJQ13" s="16"/>
      <c r="HJR13" s="16"/>
      <c r="HJS13" s="16"/>
      <c r="HJT13" s="16"/>
      <c r="HJU13" s="16"/>
      <c r="HJV13" s="16"/>
      <c r="HJW13" s="16"/>
      <c r="HJX13" s="16"/>
      <c r="HJY13" s="16"/>
      <c r="HJZ13" s="16"/>
      <c r="HKA13" s="16"/>
      <c r="HKB13" s="16"/>
      <c r="HKC13" s="16"/>
      <c r="HKD13" s="16"/>
      <c r="HKE13" s="16"/>
      <c r="HKF13" s="16"/>
      <c r="HKG13" s="16"/>
      <c r="HKH13" s="16"/>
      <c r="HKI13" s="16"/>
      <c r="HKJ13" s="16"/>
      <c r="HKK13" s="16"/>
      <c r="HKL13" s="16"/>
      <c r="HKM13" s="16"/>
      <c r="HKN13" s="16"/>
      <c r="HKO13" s="16"/>
      <c r="HKP13" s="16"/>
      <c r="HKQ13" s="16"/>
      <c r="HKR13" s="16"/>
      <c r="HKS13" s="16"/>
      <c r="HKT13" s="16"/>
      <c r="HKU13" s="16"/>
      <c r="HKV13" s="16"/>
      <c r="HKW13" s="16"/>
      <c r="HKX13" s="16"/>
      <c r="HKY13" s="16"/>
      <c r="HKZ13" s="16"/>
      <c r="HLA13" s="16"/>
      <c r="HLB13" s="16"/>
      <c r="HLC13" s="16"/>
      <c r="HLD13" s="16"/>
      <c r="HLE13" s="16"/>
      <c r="HLF13" s="16"/>
      <c r="HLG13" s="16"/>
      <c r="HLH13" s="16"/>
      <c r="HLI13" s="16"/>
      <c r="HLJ13" s="16"/>
      <c r="HLK13" s="16"/>
      <c r="HLL13" s="16"/>
      <c r="HLM13" s="16"/>
      <c r="HLN13" s="16"/>
      <c r="HLO13" s="16"/>
      <c r="HLP13" s="16"/>
      <c r="HLQ13" s="16"/>
      <c r="HLR13" s="16"/>
      <c r="HLS13" s="16"/>
      <c r="HLT13" s="16"/>
      <c r="HLU13" s="16"/>
      <c r="HLV13" s="16"/>
      <c r="HLW13" s="16"/>
      <c r="HLX13" s="16"/>
      <c r="HLY13" s="16"/>
      <c r="HLZ13" s="16"/>
      <c r="HMA13" s="16"/>
      <c r="HMB13" s="16"/>
      <c r="HMC13" s="16"/>
      <c r="HMD13" s="16"/>
      <c r="HME13" s="16"/>
      <c r="HMF13" s="16"/>
      <c r="HMG13" s="16"/>
      <c r="HMH13" s="16"/>
      <c r="HMI13" s="16"/>
      <c r="HMJ13" s="16"/>
      <c r="HMK13" s="16"/>
      <c r="HML13" s="16"/>
      <c r="HMM13" s="16"/>
      <c r="HMN13" s="16"/>
      <c r="HMO13" s="16"/>
      <c r="HMP13" s="16"/>
      <c r="HMQ13" s="16"/>
      <c r="HMR13" s="16"/>
      <c r="HMS13" s="16"/>
      <c r="HMT13" s="16"/>
      <c r="HMU13" s="16"/>
      <c r="HMV13" s="16"/>
      <c r="HMW13" s="16"/>
      <c r="HMX13" s="16"/>
      <c r="HMY13" s="16"/>
      <c r="HMZ13" s="16"/>
      <c r="HNA13" s="16"/>
      <c r="HNB13" s="16"/>
      <c r="HNC13" s="16"/>
      <c r="HND13" s="16"/>
      <c r="HNE13" s="16"/>
      <c r="HNF13" s="16"/>
      <c r="HNG13" s="16"/>
      <c r="HNH13" s="16"/>
      <c r="HNI13" s="16"/>
      <c r="HNJ13" s="16"/>
      <c r="HNK13" s="16"/>
      <c r="HNL13" s="16"/>
      <c r="HNM13" s="16"/>
      <c r="HNN13" s="16"/>
      <c r="HNO13" s="16"/>
      <c r="HNP13" s="16"/>
      <c r="HNQ13" s="16"/>
      <c r="HNR13" s="16"/>
      <c r="HNS13" s="16"/>
      <c r="HNT13" s="16"/>
      <c r="HNU13" s="16"/>
      <c r="HNV13" s="16"/>
      <c r="HNW13" s="16"/>
      <c r="HNX13" s="16"/>
      <c r="HNY13" s="16"/>
      <c r="HNZ13" s="16"/>
      <c r="HOA13" s="16"/>
      <c r="HOB13" s="16"/>
      <c r="HOC13" s="16"/>
      <c r="HOD13" s="16"/>
      <c r="HOE13" s="16"/>
      <c r="HOF13" s="16"/>
      <c r="HOG13" s="16"/>
      <c r="HOH13" s="16"/>
      <c r="HOI13" s="16"/>
      <c r="HOJ13" s="16"/>
      <c r="HOK13" s="16"/>
      <c r="HOL13" s="16"/>
      <c r="HOM13" s="16"/>
      <c r="HON13" s="16"/>
      <c r="HOO13" s="16"/>
      <c r="HOP13" s="16"/>
      <c r="HOQ13" s="16"/>
      <c r="HOR13" s="16"/>
      <c r="HOS13" s="16"/>
      <c r="HOT13" s="16"/>
      <c r="HOU13" s="16"/>
      <c r="HOV13" s="16"/>
      <c r="HOW13" s="16"/>
      <c r="HOX13" s="16"/>
      <c r="HOY13" s="16"/>
      <c r="HOZ13" s="16"/>
      <c r="HPA13" s="16"/>
      <c r="HPB13" s="16"/>
      <c r="HPC13" s="16"/>
      <c r="HPD13" s="16"/>
      <c r="HPE13" s="16"/>
      <c r="HPF13" s="16"/>
      <c r="HPG13" s="16"/>
      <c r="HPH13" s="16"/>
      <c r="HPI13" s="16"/>
      <c r="HPJ13" s="16"/>
      <c r="HPK13" s="16"/>
      <c r="HPL13" s="16"/>
      <c r="HPM13" s="16"/>
      <c r="HPN13" s="16"/>
      <c r="HPO13" s="16"/>
      <c r="HPP13" s="16"/>
      <c r="HPQ13" s="16"/>
      <c r="HPR13" s="16"/>
      <c r="HPS13" s="16"/>
      <c r="HPT13" s="16"/>
      <c r="HPU13" s="16"/>
      <c r="HPV13" s="16"/>
      <c r="HPW13" s="16"/>
      <c r="HPX13" s="16"/>
      <c r="HPY13" s="16"/>
      <c r="HPZ13" s="16"/>
      <c r="HQA13" s="16"/>
      <c r="HQB13" s="16"/>
      <c r="HQC13" s="16"/>
      <c r="HQD13" s="16"/>
      <c r="HQE13" s="16"/>
      <c r="HQF13" s="16"/>
      <c r="HQG13" s="16"/>
      <c r="HQH13" s="16"/>
      <c r="HQI13" s="16"/>
      <c r="HQJ13" s="16"/>
      <c r="HQK13" s="16"/>
      <c r="HQL13" s="16"/>
      <c r="HQM13" s="16"/>
      <c r="HQN13" s="16"/>
      <c r="HQO13" s="16"/>
      <c r="HQP13" s="16"/>
      <c r="HQQ13" s="16"/>
      <c r="HQR13" s="16"/>
      <c r="HQS13" s="16"/>
      <c r="HQT13" s="16"/>
      <c r="HQU13" s="16"/>
      <c r="HQV13" s="16"/>
      <c r="HQW13" s="16"/>
      <c r="HQX13" s="16"/>
      <c r="HQY13" s="16"/>
      <c r="HQZ13" s="16"/>
      <c r="HRA13" s="16"/>
      <c r="HRB13" s="16"/>
      <c r="HRC13" s="16"/>
      <c r="HRD13" s="16"/>
      <c r="HRE13" s="16"/>
      <c r="HRF13" s="16"/>
      <c r="HRG13" s="16"/>
      <c r="HRH13" s="16"/>
      <c r="HRI13" s="16"/>
      <c r="HRJ13" s="16"/>
      <c r="HRK13" s="16"/>
      <c r="HRL13" s="16"/>
      <c r="HRM13" s="16"/>
      <c r="HRN13" s="16"/>
      <c r="HRO13" s="16"/>
      <c r="HRP13" s="16"/>
      <c r="HRQ13" s="16"/>
      <c r="HRR13" s="16"/>
      <c r="HRS13" s="16"/>
      <c r="HRT13" s="16"/>
      <c r="HRU13" s="16"/>
      <c r="HRV13" s="16"/>
      <c r="HRW13" s="16"/>
      <c r="HRX13" s="16"/>
      <c r="HRY13" s="16"/>
      <c r="HRZ13" s="16"/>
      <c r="HSA13" s="16"/>
      <c r="HSB13" s="16"/>
      <c r="HSC13" s="16"/>
      <c r="HSD13" s="16"/>
      <c r="HSE13" s="16"/>
      <c r="HSF13" s="16"/>
      <c r="HSG13" s="16"/>
      <c r="HSH13" s="16"/>
      <c r="HSI13" s="16"/>
      <c r="HSJ13" s="16"/>
      <c r="HSK13" s="16"/>
      <c r="HSL13" s="16"/>
      <c r="HSM13" s="16"/>
      <c r="HSN13" s="16"/>
      <c r="HSO13" s="16"/>
      <c r="HSP13" s="16"/>
      <c r="HSQ13" s="16"/>
      <c r="HSR13" s="16"/>
      <c r="HSS13" s="16"/>
      <c r="HST13" s="16"/>
      <c r="HSU13" s="16"/>
      <c r="HSV13" s="16"/>
      <c r="HSW13" s="16"/>
      <c r="HSX13" s="16"/>
      <c r="HSY13" s="16"/>
      <c r="HSZ13" s="16"/>
      <c r="HTA13" s="16"/>
      <c r="HTB13" s="16"/>
      <c r="HTC13" s="16"/>
      <c r="HTD13" s="16"/>
      <c r="HTE13" s="16"/>
      <c r="HTF13" s="16"/>
      <c r="HTG13" s="16"/>
      <c r="HTH13" s="16"/>
      <c r="HTI13" s="16"/>
      <c r="HTJ13" s="16"/>
      <c r="HTK13" s="16"/>
      <c r="HTL13" s="16"/>
      <c r="HTM13" s="16"/>
      <c r="HTN13" s="16"/>
      <c r="HTO13" s="16"/>
      <c r="HTP13" s="16"/>
      <c r="HTQ13" s="16"/>
      <c r="HTR13" s="16"/>
      <c r="HTS13" s="16"/>
      <c r="HTT13" s="16"/>
      <c r="HTU13" s="16"/>
      <c r="HTV13" s="16"/>
      <c r="HTW13" s="16"/>
      <c r="HTX13" s="16"/>
      <c r="HTY13" s="16"/>
      <c r="HTZ13" s="16"/>
      <c r="HUA13" s="16"/>
      <c r="HUB13" s="16"/>
      <c r="HUC13" s="16"/>
      <c r="HUD13" s="16"/>
      <c r="HUE13" s="16"/>
      <c r="HUF13" s="16"/>
      <c r="HUG13" s="16"/>
      <c r="HUH13" s="16"/>
      <c r="HUI13" s="16"/>
      <c r="HUJ13" s="16"/>
      <c r="HUK13" s="16"/>
      <c r="HUL13" s="16"/>
      <c r="HUM13" s="16"/>
      <c r="HUN13" s="16"/>
      <c r="HUO13" s="16"/>
      <c r="HUP13" s="16"/>
      <c r="HUQ13" s="16"/>
      <c r="HUR13" s="16"/>
      <c r="HUS13" s="16"/>
      <c r="HUT13" s="16"/>
      <c r="HUU13" s="16"/>
      <c r="HUV13" s="16"/>
      <c r="HUW13" s="16"/>
      <c r="HUX13" s="16"/>
      <c r="HUY13" s="16"/>
      <c r="HUZ13" s="16"/>
      <c r="HVA13" s="16"/>
      <c r="HVB13" s="16"/>
      <c r="HVC13" s="16"/>
      <c r="HVD13" s="16"/>
      <c r="HVE13" s="16"/>
      <c r="HVF13" s="16"/>
      <c r="HVG13" s="16"/>
      <c r="HVH13" s="16"/>
      <c r="HVI13" s="16"/>
      <c r="HVJ13" s="16"/>
      <c r="HVK13" s="16"/>
      <c r="HVL13" s="16"/>
      <c r="HVM13" s="16"/>
      <c r="HVN13" s="16"/>
      <c r="HVO13" s="16"/>
      <c r="HVP13" s="16"/>
      <c r="HVQ13" s="16"/>
      <c r="HVR13" s="16"/>
      <c r="HVS13" s="16"/>
      <c r="HVT13" s="16"/>
      <c r="HVU13" s="16"/>
      <c r="HVV13" s="16"/>
      <c r="HVW13" s="16"/>
      <c r="HVX13" s="16"/>
      <c r="HVY13" s="16"/>
      <c r="HVZ13" s="16"/>
      <c r="HWA13" s="16"/>
      <c r="HWB13" s="16"/>
      <c r="HWC13" s="16"/>
      <c r="HWD13" s="16"/>
      <c r="HWE13" s="16"/>
      <c r="HWF13" s="16"/>
      <c r="HWG13" s="16"/>
      <c r="HWH13" s="16"/>
      <c r="HWI13" s="16"/>
      <c r="HWJ13" s="16"/>
      <c r="HWK13" s="16"/>
      <c r="HWL13" s="16"/>
      <c r="HWM13" s="16"/>
      <c r="HWN13" s="16"/>
      <c r="HWO13" s="16"/>
      <c r="HWP13" s="16"/>
      <c r="HWQ13" s="16"/>
      <c r="HWR13" s="16"/>
      <c r="HWS13" s="16"/>
      <c r="HWT13" s="16"/>
      <c r="HWU13" s="16"/>
      <c r="HWV13" s="16"/>
      <c r="HWW13" s="16"/>
      <c r="HWX13" s="16"/>
      <c r="HWY13" s="16"/>
      <c r="HWZ13" s="16"/>
      <c r="HXA13" s="16"/>
      <c r="HXB13" s="16"/>
      <c r="HXC13" s="16"/>
      <c r="HXD13" s="16"/>
      <c r="HXE13" s="16"/>
      <c r="HXF13" s="16"/>
      <c r="HXG13" s="16"/>
      <c r="HXH13" s="16"/>
      <c r="HXI13" s="16"/>
      <c r="HXJ13" s="16"/>
      <c r="HXK13" s="16"/>
      <c r="HXL13" s="16"/>
      <c r="HXM13" s="16"/>
      <c r="HXN13" s="16"/>
      <c r="HXO13" s="16"/>
      <c r="HXP13" s="16"/>
      <c r="HXQ13" s="16"/>
      <c r="HXR13" s="16"/>
      <c r="HXS13" s="16"/>
      <c r="HXT13" s="16"/>
      <c r="HXU13" s="16"/>
      <c r="HXV13" s="16"/>
      <c r="HXW13" s="16"/>
      <c r="HXX13" s="16"/>
      <c r="HXY13" s="16"/>
      <c r="HXZ13" s="16"/>
      <c r="HYA13" s="16"/>
      <c r="HYB13" s="16"/>
      <c r="HYC13" s="16"/>
      <c r="HYD13" s="16"/>
      <c r="HYE13" s="16"/>
      <c r="HYF13" s="16"/>
      <c r="HYG13" s="16"/>
      <c r="HYH13" s="16"/>
      <c r="HYI13" s="16"/>
      <c r="HYJ13" s="16"/>
      <c r="HYK13" s="16"/>
      <c r="HYL13" s="16"/>
      <c r="HYM13" s="16"/>
      <c r="HYN13" s="16"/>
      <c r="HYO13" s="16"/>
      <c r="HYP13" s="16"/>
      <c r="HYQ13" s="16"/>
      <c r="HYR13" s="16"/>
      <c r="HYS13" s="16"/>
      <c r="HYT13" s="16"/>
      <c r="HYU13" s="16"/>
      <c r="HYV13" s="16"/>
      <c r="HYW13" s="16"/>
      <c r="HYX13" s="16"/>
      <c r="HYY13" s="16"/>
      <c r="HYZ13" s="16"/>
      <c r="HZA13" s="16"/>
      <c r="HZB13" s="16"/>
      <c r="HZC13" s="16"/>
      <c r="HZD13" s="16"/>
      <c r="HZE13" s="16"/>
      <c r="HZF13" s="16"/>
      <c r="HZG13" s="16"/>
      <c r="HZH13" s="16"/>
      <c r="HZI13" s="16"/>
      <c r="HZJ13" s="16"/>
      <c r="HZK13" s="16"/>
      <c r="HZL13" s="16"/>
      <c r="HZM13" s="16"/>
      <c r="HZN13" s="16"/>
      <c r="HZO13" s="16"/>
      <c r="HZP13" s="16"/>
      <c r="HZQ13" s="16"/>
      <c r="HZR13" s="16"/>
      <c r="HZS13" s="16"/>
      <c r="HZT13" s="16"/>
      <c r="HZU13" s="16"/>
      <c r="HZV13" s="16"/>
      <c r="HZW13" s="16"/>
      <c r="HZX13" s="16"/>
      <c r="HZY13" s="16"/>
      <c r="HZZ13" s="16"/>
      <c r="IAA13" s="16"/>
      <c r="IAB13" s="16"/>
      <c r="IAC13" s="16"/>
      <c r="IAD13" s="16"/>
      <c r="IAE13" s="16"/>
      <c r="IAF13" s="16"/>
      <c r="IAG13" s="16"/>
      <c r="IAH13" s="16"/>
      <c r="IAI13" s="16"/>
      <c r="IAJ13" s="16"/>
      <c r="IAK13" s="16"/>
      <c r="IAL13" s="16"/>
      <c r="IAM13" s="16"/>
      <c r="IAN13" s="16"/>
      <c r="IAO13" s="16"/>
      <c r="IAP13" s="16"/>
      <c r="IAQ13" s="16"/>
      <c r="IAR13" s="16"/>
      <c r="IAS13" s="16"/>
      <c r="IAT13" s="16"/>
      <c r="IAU13" s="16"/>
      <c r="IAV13" s="16"/>
      <c r="IAW13" s="16"/>
      <c r="IAX13" s="16"/>
      <c r="IAY13" s="16"/>
      <c r="IAZ13" s="16"/>
      <c r="IBA13" s="16"/>
      <c r="IBB13" s="16"/>
      <c r="IBC13" s="16"/>
      <c r="IBD13" s="16"/>
      <c r="IBE13" s="16"/>
      <c r="IBF13" s="16"/>
      <c r="IBG13" s="16"/>
      <c r="IBH13" s="16"/>
      <c r="IBI13" s="16"/>
      <c r="IBJ13" s="16"/>
      <c r="IBK13" s="16"/>
      <c r="IBL13" s="16"/>
      <c r="IBM13" s="16"/>
      <c r="IBN13" s="16"/>
      <c r="IBO13" s="16"/>
      <c r="IBP13" s="16"/>
      <c r="IBQ13" s="16"/>
      <c r="IBR13" s="16"/>
      <c r="IBS13" s="16"/>
      <c r="IBT13" s="16"/>
      <c r="IBU13" s="16"/>
      <c r="IBV13" s="16"/>
      <c r="IBW13" s="16"/>
      <c r="IBX13" s="16"/>
      <c r="IBY13" s="16"/>
      <c r="IBZ13" s="16"/>
      <c r="ICA13" s="16"/>
      <c r="ICB13" s="16"/>
      <c r="ICC13" s="16"/>
      <c r="ICD13" s="16"/>
      <c r="ICE13" s="16"/>
      <c r="ICF13" s="16"/>
      <c r="ICG13" s="16"/>
      <c r="ICH13" s="16"/>
      <c r="ICI13" s="16"/>
      <c r="ICJ13" s="16"/>
      <c r="ICK13" s="16"/>
      <c r="ICL13" s="16"/>
      <c r="ICM13" s="16"/>
      <c r="ICN13" s="16"/>
      <c r="ICO13" s="16"/>
      <c r="ICP13" s="16"/>
      <c r="ICQ13" s="16"/>
      <c r="ICR13" s="16"/>
      <c r="ICS13" s="16"/>
      <c r="ICT13" s="16"/>
      <c r="ICU13" s="16"/>
      <c r="ICV13" s="16"/>
      <c r="ICW13" s="16"/>
      <c r="ICX13" s="16"/>
      <c r="ICY13" s="16"/>
      <c r="ICZ13" s="16"/>
      <c r="IDA13" s="16"/>
      <c r="IDB13" s="16"/>
      <c r="IDC13" s="16"/>
      <c r="IDD13" s="16"/>
      <c r="IDE13" s="16"/>
      <c r="IDF13" s="16"/>
      <c r="IDG13" s="16"/>
      <c r="IDH13" s="16"/>
      <c r="IDI13" s="16"/>
      <c r="IDJ13" s="16"/>
      <c r="IDK13" s="16"/>
      <c r="IDL13" s="16"/>
      <c r="IDM13" s="16"/>
      <c r="IDN13" s="16"/>
      <c r="IDO13" s="16"/>
      <c r="IDP13" s="16"/>
      <c r="IDQ13" s="16"/>
      <c r="IDR13" s="16"/>
      <c r="IDS13" s="16"/>
      <c r="IDT13" s="16"/>
      <c r="IDU13" s="16"/>
      <c r="IDV13" s="16"/>
      <c r="IDW13" s="16"/>
      <c r="IDX13" s="16"/>
      <c r="IDY13" s="16"/>
      <c r="IDZ13" s="16"/>
      <c r="IEA13" s="16"/>
      <c r="IEB13" s="16"/>
      <c r="IEC13" s="16"/>
      <c r="IED13" s="16"/>
      <c r="IEE13" s="16"/>
      <c r="IEF13" s="16"/>
      <c r="IEG13" s="16"/>
      <c r="IEH13" s="16"/>
      <c r="IEI13" s="16"/>
      <c r="IEJ13" s="16"/>
      <c r="IEK13" s="16"/>
      <c r="IEL13" s="16"/>
      <c r="IEM13" s="16"/>
      <c r="IEN13" s="16"/>
      <c r="IEO13" s="16"/>
      <c r="IEP13" s="16"/>
      <c r="IEQ13" s="16"/>
      <c r="IER13" s="16"/>
      <c r="IES13" s="16"/>
      <c r="IET13" s="16"/>
      <c r="IEU13" s="16"/>
      <c r="IEV13" s="16"/>
      <c r="IEW13" s="16"/>
      <c r="IEX13" s="16"/>
      <c r="IEY13" s="16"/>
      <c r="IEZ13" s="16"/>
      <c r="IFA13" s="16"/>
      <c r="IFB13" s="16"/>
      <c r="IFC13" s="16"/>
      <c r="IFD13" s="16"/>
      <c r="IFE13" s="16"/>
      <c r="IFF13" s="16"/>
      <c r="IFG13" s="16"/>
      <c r="IFH13" s="16"/>
      <c r="IFI13" s="16"/>
      <c r="IFJ13" s="16"/>
      <c r="IFK13" s="16"/>
      <c r="IFL13" s="16"/>
      <c r="IFM13" s="16"/>
      <c r="IFN13" s="16"/>
      <c r="IFO13" s="16"/>
      <c r="IFP13" s="16"/>
      <c r="IFQ13" s="16"/>
      <c r="IFR13" s="16"/>
      <c r="IFS13" s="16"/>
      <c r="IFT13" s="16"/>
      <c r="IFU13" s="16"/>
      <c r="IFV13" s="16"/>
      <c r="IFW13" s="16"/>
      <c r="IFX13" s="16"/>
      <c r="IFY13" s="16"/>
      <c r="IFZ13" s="16"/>
      <c r="IGA13" s="16"/>
      <c r="IGB13" s="16"/>
      <c r="IGC13" s="16"/>
      <c r="IGD13" s="16"/>
      <c r="IGE13" s="16"/>
      <c r="IGF13" s="16"/>
      <c r="IGG13" s="16"/>
      <c r="IGH13" s="16"/>
      <c r="IGI13" s="16"/>
      <c r="IGJ13" s="16"/>
      <c r="IGK13" s="16"/>
      <c r="IGL13" s="16"/>
      <c r="IGM13" s="16"/>
      <c r="IGN13" s="16"/>
      <c r="IGO13" s="16"/>
      <c r="IGP13" s="16"/>
      <c r="IGQ13" s="16"/>
      <c r="IGR13" s="16"/>
      <c r="IGS13" s="16"/>
      <c r="IGT13" s="16"/>
      <c r="IGU13" s="16"/>
      <c r="IGV13" s="16"/>
      <c r="IGW13" s="16"/>
      <c r="IGX13" s="16"/>
      <c r="IGY13" s="16"/>
      <c r="IGZ13" s="16"/>
      <c r="IHA13" s="16"/>
      <c r="IHB13" s="16"/>
      <c r="IHC13" s="16"/>
      <c r="IHD13" s="16"/>
      <c r="IHE13" s="16"/>
      <c r="IHF13" s="16"/>
      <c r="IHG13" s="16"/>
      <c r="IHH13" s="16"/>
      <c r="IHI13" s="16"/>
      <c r="IHJ13" s="16"/>
      <c r="IHK13" s="16"/>
      <c r="IHL13" s="16"/>
      <c r="IHM13" s="16"/>
      <c r="IHN13" s="16"/>
      <c r="IHO13" s="16"/>
      <c r="IHP13" s="16"/>
      <c r="IHQ13" s="16"/>
      <c r="IHR13" s="16"/>
      <c r="IHS13" s="16"/>
      <c r="IHT13" s="16"/>
      <c r="IHU13" s="16"/>
      <c r="IHV13" s="16"/>
      <c r="IHW13" s="16"/>
      <c r="IHX13" s="16"/>
      <c r="IHY13" s="16"/>
      <c r="IHZ13" s="16"/>
      <c r="IIA13" s="16"/>
      <c r="IIB13" s="16"/>
      <c r="IIC13" s="16"/>
      <c r="IID13" s="16"/>
      <c r="IIE13" s="16"/>
      <c r="IIF13" s="16"/>
      <c r="IIG13" s="16"/>
      <c r="IIH13" s="16"/>
      <c r="III13" s="16"/>
      <c r="IIJ13" s="16"/>
      <c r="IIK13" s="16"/>
      <c r="IIL13" s="16"/>
      <c r="IIM13" s="16"/>
      <c r="IIN13" s="16"/>
      <c r="IIO13" s="16"/>
      <c r="IIP13" s="16"/>
      <c r="IIQ13" s="16"/>
      <c r="IIR13" s="16"/>
      <c r="IIS13" s="16"/>
      <c r="IIT13" s="16"/>
      <c r="IIU13" s="16"/>
      <c r="IIV13" s="16"/>
      <c r="IIW13" s="16"/>
      <c r="IIX13" s="16"/>
      <c r="IIY13" s="16"/>
      <c r="IIZ13" s="16"/>
      <c r="IJA13" s="16"/>
      <c r="IJB13" s="16"/>
      <c r="IJC13" s="16"/>
      <c r="IJD13" s="16"/>
      <c r="IJE13" s="16"/>
      <c r="IJF13" s="16"/>
      <c r="IJG13" s="16"/>
      <c r="IJH13" s="16"/>
      <c r="IJI13" s="16"/>
      <c r="IJJ13" s="16"/>
      <c r="IJK13" s="16"/>
      <c r="IJL13" s="16"/>
      <c r="IJM13" s="16"/>
      <c r="IJN13" s="16"/>
      <c r="IJO13" s="16"/>
      <c r="IJP13" s="16"/>
      <c r="IJQ13" s="16"/>
      <c r="IJR13" s="16"/>
      <c r="IJS13" s="16"/>
      <c r="IJT13" s="16"/>
      <c r="IJU13" s="16"/>
      <c r="IJV13" s="16"/>
      <c r="IJW13" s="16"/>
      <c r="IJX13" s="16"/>
      <c r="IJY13" s="16"/>
      <c r="IJZ13" s="16"/>
      <c r="IKA13" s="16"/>
      <c r="IKB13" s="16"/>
      <c r="IKC13" s="16"/>
      <c r="IKD13" s="16"/>
      <c r="IKE13" s="16"/>
      <c r="IKF13" s="16"/>
      <c r="IKG13" s="16"/>
      <c r="IKH13" s="16"/>
      <c r="IKI13" s="16"/>
      <c r="IKJ13" s="16"/>
      <c r="IKK13" s="16"/>
      <c r="IKL13" s="16"/>
      <c r="IKM13" s="16"/>
      <c r="IKN13" s="16"/>
      <c r="IKO13" s="16"/>
      <c r="IKP13" s="16"/>
      <c r="IKQ13" s="16"/>
      <c r="IKR13" s="16"/>
      <c r="IKS13" s="16"/>
      <c r="IKT13" s="16"/>
      <c r="IKU13" s="16"/>
      <c r="IKV13" s="16"/>
      <c r="IKW13" s="16"/>
      <c r="IKX13" s="16"/>
      <c r="IKY13" s="16"/>
      <c r="IKZ13" s="16"/>
      <c r="ILA13" s="16"/>
      <c r="ILB13" s="16"/>
      <c r="ILC13" s="16"/>
      <c r="ILD13" s="16"/>
      <c r="ILE13" s="16"/>
      <c r="ILF13" s="16"/>
      <c r="ILG13" s="16"/>
      <c r="ILH13" s="16"/>
      <c r="ILI13" s="16"/>
      <c r="ILJ13" s="16"/>
      <c r="ILK13" s="16"/>
      <c r="ILL13" s="16"/>
      <c r="ILM13" s="16"/>
      <c r="ILN13" s="16"/>
      <c r="ILO13" s="16"/>
      <c r="ILP13" s="16"/>
      <c r="ILQ13" s="16"/>
      <c r="ILR13" s="16"/>
      <c r="ILS13" s="16"/>
      <c r="ILT13" s="16"/>
      <c r="ILU13" s="16"/>
      <c r="ILV13" s="16"/>
      <c r="ILW13" s="16"/>
      <c r="ILX13" s="16"/>
      <c r="ILY13" s="16"/>
      <c r="ILZ13" s="16"/>
      <c r="IMA13" s="16"/>
      <c r="IMB13" s="16"/>
      <c r="IMC13" s="16"/>
      <c r="IMD13" s="16"/>
      <c r="IME13" s="16"/>
      <c r="IMF13" s="16"/>
      <c r="IMG13" s="16"/>
      <c r="IMH13" s="16"/>
      <c r="IMI13" s="16"/>
      <c r="IMJ13" s="16"/>
      <c r="IMK13" s="16"/>
      <c r="IML13" s="16"/>
      <c r="IMM13" s="16"/>
      <c r="IMN13" s="16"/>
      <c r="IMO13" s="16"/>
      <c r="IMP13" s="16"/>
      <c r="IMQ13" s="16"/>
      <c r="IMR13" s="16"/>
      <c r="IMS13" s="16"/>
      <c r="IMT13" s="16"/>
      <c r="IMU13" s="16"/>
      <c r="IMV13" s="16"/>
      <c r="IMW13" s="16"/>
      <c r="IMX13" s="16"/>
      <c r="IMY13" s="16"/>
      <c r="IMZ13" s="16"/>
      <c r="INA13" s="16"/>
      <c r="INB13" s="16"/>
      <c r="INC13" s="16"/>
      <c r="IND13" s="16"/>
      <c r="INE13" s="16"/>
      <c r="INF13" s="16"/>
      <c r="ING13" s="16"/>
      <c r="INH13" s="16"/>
      <c r="INI13" s="16"/>
      <c r="INJ13" s="16"/>
      <c r="INK13" s="16"/>
      <c r="INL13" s="16"/>
      <c r="INM13" s="16"/>
      <c r="INN13" s="16"/>
      <c r="INO13" s="16"/>
      <c r="INP13" s="16"/>
      <c r="INQ13" s="16"/>
      <c r="INR13" s="16"/>
      <c r="INS13" s="16"/>
      <c r="INT13" s="16"/>
      <c r="INU13" s="16"/>
      <c r="INV13" s="16"/>
      <c r="INW13" s="16"/>
      <c r="INX13" s="16"/>
      <c r="INY13" s="16"/>
      <c r="INZ13" s="16"/>
      <c r="IOA13" s="16"/>
      <c r="IOB13" s="16"/>
      <c r="IOC13" s="16"/>
      <c r="IOD13" s="16"/>
      <c r="IOE13" s="16"/>
      <c r="IOF13" s="16"/>
      <c r="IOG13" s="16"/>
      <c r="IOH13" s="16"/>
      <c r="IOI13" s="16"/>
      <c r="IOJ13" s="16"/>
      <c r="IOK13" s="16"/>
      <c r="IOL13" s="16"/>
      <c r="IOM13" s="16"/>
      <c r="ION13" s="16"/>
      <c r="IOO13" s="16"/>
      <c r="IOP13" s="16"/>
      <c r="IOQ13" s="16"/>
      <c r="IOR13" s="16"/>
      <c r="IOS13" s="16"/>
      <c r="IOT13" s="16"/>
      <c r="IOU13" s="16"/>
      <c r="IOV13" s="16"/>
      <c r="IOW13" s="16"/>
      <c r="IOX13" s="16"/>
      <c r="IOY13" s="16"/>
      <c r="IOZ13" s="16"/>
      <c r="IPA13" s="16"/>
      <c r="IPB13" s="16"/>
      <c r="IPC13" s="16"/>
      <c r="IPD13" s="16"/>
      <c r="IPE13" s="16"/>
      <c r="IPF13" s="16"/>
      <c r="IPG13" s="16"/>
      <c r="IPH13" s="16"/>
      <c r="IPI13" s="16"/>
      <c r="IPJ13" s="16"/>
      <c r="IPK13" s="16"/>
      <c r="IPL13" s="16"/>
      <c r="IPM13" s="16"/>
      <c r="IPN13" s="16"/>
      <c r="IPO13" s="16"/>
      <c r="IPP13" s="16"/>
      <c r="IPQ13" s="16"/>
      <c r="IPR13" s="16"/>
      <c r="IPS13" s="16"/>
      <c r="IPT13" s="16"/>
      <c r="IPU13" s="16"/>
      <c r="IPV13" s="16"/>
      <c r="IPW13" s="16"/>
      <c r="IPX13" s="16"/>
      <c r="IPY13" s="16"/>
      <c r="IPZ13" s="16"/>
      <c r="IQA13" s="16"/>
      <c r="IQB13" s="16"/>
      <c r="IQC13" s="16"/>
      <c r="IQD13" s="16"/>
      <c r="IQE13" s="16"/>
      <c r="IQF13" s="16"/>
      <c r="IQG13" s="16"/>
      <c r="IQH13" s="16"/>
      <c r="IQI13" s="16"/>
      <c r="IQJ13" s="16"/>
      <c r="IQK13" s="16"/>
      <c r="IQL13" s="16"/>
      <c r="IQM13" s="16"/>
      <c r="IQN13" s="16"/>
      <c r="IQO13" s="16"/>
      <c r="IQP13" s="16"/>
      <c r="IQQ13" s="16"/>
      <c r="IQR13" s="16"/>
      <c r="IQS13" s="16"/>
      <c r="IQT13" s="16"/>
      <c r="IQU13" s="16"/>
      <c r="IQV13" s="16"/>
      <c r="IQW13" s="16"/>
      <c r="IQX13" s="16"/>
      <c r="IQY13" s="16"/>
      <c r="IQZ13" s="16"/>
      <c r="IRA13" s="16"/>
      <c r="IRB13" s="16"/>
      <c r="IRC13" s="16"/>
      <c r="IRD13" s="16"/>
      <c r="IRE13" s="16"/>
      <c r="IRF13" s="16"/>
      <c r="IRG13" s="16"/>
      <c r="IRH13" s="16"/>
      <c r="IRI13" s="16"/>
      <c r="IRJ13" s="16"/>
      <c r="IRK13" s="16"/>
      <c r="IRL13" s="16"/>
      <c r="IRM13" s="16"/>
      <c r="IRN13" s="16"/>
      <c r="IRO13" s="16"/>
      <c r="IRP13" s="16"/>
      <c r="IRQ13" s="16"/>
      <c r="IRR13" s="16"/>
      <c r="IRS13" s="16"/>
      <c r="IRT13" s="16"/>
      <c r="IRU13" s="16"/>
      <c r="IRV13" s="16"/>
      <c r="IRW13" s="16"/>
      <c r="IRX13" s="16"/>
      <c r="IRY13" s="16"/>
      <c r="IRZ13" s="16"/>
      <c r="ISA13" s="16"/>
      <c r="ISB13" s="16"/>
      <c r="ISC13" s="16"/>
      <c r="ISD13" s="16"/>
      <c r="ISE13" s="16"/>
      <c r="ISF13" s="16"/>
      <c r="ISG13" s="16"/>
      <c r="ISH13" s="16"/>
      <c r="ISI13" s="16"/>
      <c r="ISJ13" s="16"/>
      <c r="ISK13" s="16"/>
      <c r="ISL13" s="16"/>
      <c r="ISM13" s="16"/>
      <c r="ISN13" s="16"/>
      <c r="ISO13" s="16"/>
      <c r="ISP13" s="16"/>
      <c r="ISQ13" s="16"/>
      <c r="ISR13" s="16"/>
      <c r="ISS13" s="16"/>
      <c r="IST13" s="16"/>
      <c r="ISU13" s="16"/>
      <c r="ISV13" s="16"/>
      <c r="ISW13" s="16"/>
      <c r="ISX13" s="16"/>
      <c r="ISY13" s="16"/>
      <c r="ISZ13" s="16"/>
      <c r="ITA13" s="16"/>
      <c r="ITB13" s="16"/>
      <c r="ITC13" s="16"/>
      <c r="ITD13" s="16"/>
      <c r="ITE13" s="16"/>
      <c r="ITF13" s="16"/>
      <c r="ITG13" s="16"/>
      <c r="ITH13" s="16"/>
      <c r="ITI13" s="16"/>
      <c r="ITJ13" s="16"/>
      <c r="ITK13" s="16"/>
      <c r="ITL13" s="16"/>
      <c r="ITM13" s="16"/>
      <c r="ITN13" s="16"/>
      <c r="ITO13" s="16"/>
      <c r="ITP13" s="16"/>
      <c r="ITQ13" s="16"/>
      <c r="ITR13" s="16"/>
      <c r="ITS13" s="16"/>
      <c r="ITT13" s="16"/>
      <c r="ITU13" s="16"/>
      <c r="ITV13" s="16"/>
      <c r="ITW13" s="16"/>
      <c r="ITX13" s="16"/>
      <c r="ITY13" s="16"/>
      <c r="ITZ13" s="16"/>
      <c r="IUA13" s="16"/>
      <c r="IUB13" s="16"/>
      <c r="IUC13" s="16"/>
      <c r="IUD13" s="16"/>
      <c r="IUE13" s="16"/>
      <c r="IUF13" s="16"/>
      <c r="IUG13" s="16"/>
      <c r="IUH13" s="16"/>
      <c r="IUI13" s="16"/>
      <c r="IUJ13" s="16"/>
      <c r="IUK13" s="16"/>
      <c r="IUL13" s="16"/>
      <c r="IUM13" s="16"/>
      <c r="IUN13" s="16"/>
      <c r="IUO13" s="16"/>
      <c r="IUP13" s="16"/>
      <c r="IUQ13" s="16"/>
      <c r="IUR13" s="16"/>
      <c r="IUS13" s="16"/>
      <c r="IUT13" s="16"/>
      <c r="IUU13" s="16"/>
      <c r="IUV13" s="16"/>
      <c r="IUW13" s="16"/>
      <c r="IUX13" s="16"/>
      <c r="IUY13" s="16"/>
      <c r="IUZ13" s="16"/>
      <c r="IVA13" s="16"/>
      <c r="IVB13" s="16"/>
      <c r="IVC13" s="16"/>
      <c r="IVD13" s="16"/>
      <c r="IVE13" s="16"/>
      <c r="IVF13" s="16"/>
      <c r="IVG13" s="16"/>
      <c r="IVH13" s="16"/>
      <c r="IVI13" s="16"/>
      <c r="IVJ13" s="16"/>
      <c r="IVK13" s="16"/>
      <c r="IVL13" s="16"/>
      <c r="IVM13" s="16"/>
      <c r="IVN13" s="16"/>
      <c r="IVO13" s="16"/>
      <c r="IVP13" s="16"/>
      <c r="IVQ13" s="16"/>
      <c r="IVR13" s="16"/>
      <c r="IVS13" s="16"/>
      <c r="IVT13" s="16"/>
      <c r="IVU13" s="16"/>
      <c r="IVV13" s="16"/>
      <c r="IVW13" s="16"/>
      <c r="IVX13" s="16"/>
      <c r="IVY13" s="16"/>
      <c r="IVZ13" s="16"/>
      <c r="IWA13" s="16"/>
      <c r="IWB13" s="16"/>
      <c r="IWC13" s="16"/>
      <c r="IWD13" s="16"/>
      <c r="IWE13" s="16"/>
      <c r="IWF13" s="16"/>
      <c r="IWG13" s="16"/>
      <c r="IWH13" s="16"/>
      <c r="IWI13" s="16"/>
      <c r="IWJ13" s="16"/>
      <c r="IWK13" s="16"/>
      <c r="IWL13" s="16"/>
      <c r="IWM13" s="16"/>
      <c r="IWN13" s="16"/>
      <c r="IWO13" s="16"/>
      <c r="IWP13" s="16"/>
      <c r="IWQ13" s="16"/>
      <c r="IWR13" s="16"/>
      <c r="IWS13" s="16"/>
      <c r="IWT13" s="16"/>
      <c r="IWU13" s="16"/>
      <c r="IWV13" s="16"/>
      <c r="IWW13" s="16"/>
      <c r="IWX13" s="16"/>
      <c r="IWY13" s="16"/>
      <c r="IWZ13" s="16"/>
      <c r="IXA13" s="16"/>
      <c r="IXB13" s="16"/>
      <c r="IXC13" s="16"/>
      <c r="IXD13" s="16"/>
      <c r="IXE13" s="16"/>
      <c r="IXF13" s="16"/>
      <c r="IXG13" s="16"/>
      <c r="IXH13" s="16"/>
      <c r="IXI13" s="16"/>
      <c r="IXJ13" s="16"/>
      <c r="IXK13" s="16"/>
      <c r="IXL13" s="16"/>
      <c r="IXM13" s="16"/>
      <c r="IXN13" s="16"/>
      <c r="IXO13" s="16"/>
      <c r="IXP13" s="16"/>
      <c r="IXQ13" s="16"/>
      <c r="IXR13" s="16"/>
      <c r="IXS13" s="16"/>
      <c r="IXT13" s="16"/>
      <c r="IXU13" s="16"/>
      <c r="IXV13" s="16"/>
      <c r="IXW13" s="16"/>
      <c r="IXX13" s="16"/>
      <c r="IXY13" s="16"/>
      <c r="IXZ13" s="16"/>
      <c r="IYA13" s="16"/>
      <c r="IYB13" s="16"/>
      <c r="IYC13" s="16"/>
      <c r="IYD13" s="16"/>
      <c r="IYE13" s="16"/>
      <c r="IYF13" s="16"/>
      <c r="IYG13" s="16"/>
      <c r="IYH13" s="16"/>
      <c r="IYI13" s="16"/>
      <c r="IYJ13" s="16"/>
      <c r="IYK13" s="16"/>
      <c r="IYL13" s="16"/>
      <c r="IYM13" s="16"/>
      <c r="IYN13" s="16"/>
      <c r="IYO13" s="16"/>
      <c r="IYP13" s="16"/>
      <c r="IYQ13" s="16"/>
      <c r="IYR13" s="16"/>
      <c r="IYS13" s="16"/>
      <c r="IYT13" s="16"/>
      <c r="IYU13" s="16"/>
      <c r="IYV13" s="16"/>
      <c r="IYW13" s="16"/>
      <c r="IYX13" s="16"/>
      <c r="IYY13" s="16"/>
      <c r="IYZ13" s="16"/>
      <c r="IZA13" s="16"/>
      <c r="IZB13" s="16"/>
      <c r="IZC13" s="16"/>
      <c r="IZD13" s="16"/>
      <c r="IZE13" s="16"/>
      <c r="IZF13" s="16"/>
      <c r="IZG13" s="16"/>
      <c r="IZH13" s="16"/>
      <c r="IZI13" s="16"/>
      <c r="IZJ13" s="16"/>
      <c r="IZK13" s="16"/>
      <c r="IZL13" s="16"/>
      <c r="IZM13" s="16"/>
      <c r="IZN13" s="16"/>
      <c r="IZO13" s="16"/>
      <c r="IZP13" s="16"/>
      <c r="IZQ13" s="16"/>
      <c r="IZR13" s="16"/>
      <c r="IZS13" s="16"/>
      <c r="IZT13" s="16"/>
      <c r="IZU13" s="16"/>
      <c r="IZV13" s="16"/>
      <c r="IZW13" s="16"/>
      <c r="IZX13" s="16"/>
      <c r="IZY13" s="16"/>
      <c r="IZZ13" s="16"/>
      <c r="JAA13" s="16"/>
      <c r="JAB13" s="16"/>
      <c r="JAC13" s="16"/>
      <c r="JAD13" s="16"/>
      <c r="JAE13" s="16"/>
      <c r="JAF13" s="16"/>
      <c r="JAG13" s="16"/>
      <c r="JAH13" s="16"/>
      <c r="JAI13" s="16"/>
      <c r="JAJ13" s="16"/>
      <c r="JAK13" s="16"/>
      <c r="JAL13" s="16"/>
      <c r="JAM13" s="16"/>
      <c r="JAN13" s="16"/>
      <c r="JAO13" s="16"/>
      <c r="JAP13" s="16"/>
      <c r="JAQ13" s="16"/>
      <c r="JAR13" s="16"/>
      <c r="JAS13" s="16"/>
      <c r="JAT13" s="16"/>
      <c r="JAU13" s="16"/>
      <c r="JAV13" s="16"/>
      <c r="JAW13" s="16"/>
      <c r="JAX13" s="16"/>
      <c r="JAY13" s="16"/>
      <c r="JAZ13" s="16"/>
      <c r="JBA13" s="16"/>
      <c r="JBB13" s="16"/>
      <c r="JBC13" s="16"/>
      <c r="JBD13" s="16"/>
      <c r="JBE13" s="16"/>
      <c r="JBF13" s="16"/>
      <c r="JBG13" s="16"/>
      <c r="JBH13" s="16"/>
      <c r="JBI13" s="16"/>
      <c r="JBJ13" s="16"/>
      <c r="JBK13" s="16"/>
      <c r="JBL13" s="16"/>
      <c r="JBM13" s="16"/>
      <c r="JBN13" s="16"/>
      <c r="JBO13" s="16"/>
      <c r="JBP13" s="16"/>
      <c r="JBQ13" s="16"/>
      <c r="JBR13" s="16"/>
      <c r="JBS13" s="16"/>
      <c r="JBT13" s="16"/>
      <c r="JBU13" s="16"/>
      <c r="JBV13" s="16"/>
      <c r="JBW13" s="16"/>
      <c r="JBX13" s="16"/>
      <c r="JBY13" s="16"/>
      <c r="JBZ13" s="16"/>
      <c r="JCA13" s="16"/>
      <c r="JCB13" s="16"/>
      <c r="JCC13" s="16"/>
      <c r="JCD13" s="16"/>
      <c r="JCE13" s="16"/>
      <c r="JCF13" s="16"/>
      <c r="JCG13" s="16"/>
      <c r="JCH13" s="16"/>
      <c r="JCI13" s="16"/>
      <c r="JCJ13" s="16"/>
      <c r="JCK13" s="16"/>
      <c r="JCL13" s="16"/>
      <c r="JCM13" s="16"/>
      <c r="JCN13" s="16"/>
      <c r="JCO13" s="16"/>
      <c r="JCP13" s="16"/>
      <c r="JCQ13" s="16"/>
      <c r="JCR13" s="16"/>
      <c r="JCS13" s="16"/>
      <c r="JCT13" s="16"/>
      <c r="JCU13" s="16"/>
      <c r="JCV13" s="16"/>
      <c r="JCW13" s="16"/>
      <c r="JCX13" s="16"/>
      <c r="JCY13" s="16"/>
      <c r="JCZ13" s="16"/>
      <c r="JDA13" s="16"/>
      <c r="JDB13" s="16"/>
      <c r="JDC13" s="16"/>
      <c r="JDD13" s="16"/>
      <c r="JDE13" s="16"/>
      <c r="JDF13" s="16"/>
      <c r="JDG13" s="16"/>
      <c r="JDH13" s="16"/>
      <c r="JDI13" s="16"/>
      <c r="JDJ13" s="16"/>
      <c r="JDK13" s="16"/>
      <c r="JDL13" s="16"/>
      <c r="JDM13" s="16"/>
      <c r="JDN13" s="16"/>
      <c r="JDO13" s="16"/>
      <c r="JDP13" s="16"/>
      <c r="JDQ13" s="16"/>
      <c r="JDR13" s="16"/>
      <c r="JDS13" s="16"/>
      <c r="JDT13" s="16"/>
      <c r="JDU13" s="16"/>
      <c r="JDV13" s="16"/>
      <c r="JDW13" s="16"/>
      <c r="JDX13" s="16"/>
      <c r="JDY13" s="16"/>
      <c r="JDZ13" s="16"/>
      <c r="JEA13" s="16"/>
      <c r="JEB13" s="16"/>
      <c r="JEC13" s="16"/>
      <c r="JED13" s="16"/>
      <c r="JEE13" s="16"/>
      <c r="JEF13" s="16"/>
      <c r="JEG13" s="16"/>
      <c r="JEH13" s="16"/>
      <c r="JEI13" s="16"/>
      <c r="JEJ13" s="16"/>
      <c r="JEK13" s="16"/>
      <c r="JEL13" s="16"/>
      <c r="JEM13" s="16"/>
      <c r="JEN13" s="16"/>
      <c r="JEO13" s="16"/>
      <c r="JEP13" s="16"/>
      <c r="JEQ13" s="16"/>
      <c r="JER13" s="16"/>
      <c r="JES13" s="16"/>
      <c r="JET13" s="16"/>
      <c r="JEU13" s="16"/>
      <c r="JEV13" s="16"/>
      <c r="JEW13" s="16"/>
      <c r="JEX13" s="16"/>
      <c r="JEY13" s="16"/>
      <c r="JEZ13" s="16"/>
      <c r="JFA13" s="16"/>
      <c r="JFB13" s="16"/>
      <c r="JFC13" s="16"/>
      <c r="JFD13" s="16"/>
      <c r="JFE13" s="16"/>
      <c r="JFF13" s="16"/>
      <c r="JFG13" s="16"/>
      <c r="JFH13" s="16"/>
      <c r="JFI13" s="16"/>
      <c r="JFJ13" s="16"/>
      <c r="JFK13" s="16"/>
      <c r="JFL13" s="16"/>
      <c r="JFM13" s="16"/>
      <c r="JFN13" s="16"/>
      <c r="JFO13" s="16"/>
      <c r="JFP13" s="16"/>
      <c r="JFQ13" s="16"/>
      <c r="JFR13" s="16"/>
      <c r="JFS13" s="16"/>
      <c r="JFT13" s="16"/>
      <c r="JFU13" s="16"/>
      <c r="JFV13" s="16"/>
      <c r="JFW13" s="16"/>
      <c r="JFX13" s="16"/>
      <c r="JFY13" s="16"/>
      <c r="JFZ13" s="16"/>
      <c r="JGA13" s="16"/>
      <c r="JGB13" s="16"/>
      <c r="JGC13" s="16"/>
      <c r="JGD13" s="16"/>
      <c r="JGE13" s="16"/>
      <c r="JGF13" s="16"/>
      <c r="JGG13" s="16"/>
      <c r="JGH13" s="16"/>
      <c r="JGI13" s="16"/>
      <c r="JGJ13" s="16"/>
      <c r="JGK13" s="16"/>
      <c r="JGL13" s="16"/>
      <c r="JGM13" s="16"/>
      <c r="JGN13" s="16"/>
      <c r="JGO13" s="16"/>
      <c r="JGP13" s="16"/>
      <c r="JGQ13" s="16"/>
      <c r="JGR13" s="16"/>
      <c r="JGS13" s="16"/>
      <c r="JGT13" s="16"/>
      <c r="JGU13" s="16"/>
      <c r="JGV13" s="16"/>
      <c r="JGW13" s="16"/>
      <c r="JGX13" s="16"/>
      <c r="JGY13" s="16"/>
      <c r="JGZ13" s="16"/>
      <c r="JHA13" s="16"/>
      <c r="JHB13" s="16"/>
      <c r="JHC13" s="16"/>
      <c r="JHD13" s="16"/>
      <c r="JHE13" s="16"/>
      <c r="JHF13" s="16"/>
      <c r="JHG13" s="16"/>
      <c r="JHH13" s="16"/>
      <c r="JHI13" s="16"/>
      <c r="JHJ13" s="16"/>
      <c r="JHK13" s="16"/>
      <c r="JHL13" s="16"/>
      <c r="JHM13" s="16"/>
      <c r="JHN13" s="16"/>
      <c r="JHO13" s="16"/>
      <c r="JHP13" s="16"/>
      <c r="JHQ13" s="16"/>
      <c r="JHR13" s="16"/>
      <c r="JHS13" s="16"/>
      <c r="JHT13" s="16"/>
      <c r="JHU13" s="16"/>
      <c r="JHV13" s="16"/>
      <c r="JHW13" s="16"/>
      <c r="JHX13" s="16"/>
      <c r="JHY13" s="16"/>
      <c r="JHZ13" s="16"/>
      <c r="JIA13" s="16"/>
      <c r="JIB13" s="16"/>
      <c r="JIC13" s="16"/>
      <c r="JID13" s="16"/>
      <c r="JIE13" s="16"/>
      <c r="JIF13" s="16"/>
      <c r="JIG13" s="16"/>
      <c r="JIH13" s="16"/>
      <c r="JII13" s="16"/>
      <c r="JIJ13" s="16"/>
      <c r="JIK13" s="16"/>
      <c r="JIL13" s="16"/>
      <c r="JIM13" s="16"/>
      <c r="JIN13" s="16"/>
      <c r="JIO13" s="16"/>
      <c r="JIP13" s="16"/>
      <c r="JIQ13" s="16"/>
      <c r="JIR13" s="16"/>
      <c r="JIS13" s="16"/>
      <c r="JIT13" s="16"/>
      <c r="JIU13" s="16"/>
      <c r="JIV13" s="16"/>
      <c r="JIW13" s="16"/>
      <c r="JIX13" s="16"/>
      <c r="JIY13" s="16"/>
      <c r="JIZ13" s="16"/>
      <c r="JJA13" s="16"/>
      <c r="JJB13" s="16"/>
      <c r="JJC13" s="16"/>
      <c r="JJD13" s="16"/>
      <c r="JJE13" s="16"/>
      <c r="JJF13" s="16"/>
      <c r="JJG13" s="16"/>
      <c r="JJH13" s="16"/>
      <c r="JJI13" s="16"/>
      <c r="JJJ13" s="16"/>
      <c r="JJK13" s="16"/>
      <c r="JJL13" s="16"/>
      <c r="JJM13" s="16"/>
      <c r="JJN13" s="16"/>
      <c r="JJO13" s="16"/>
      <c r="JJP13" s="16"/>
      <c r="JJQ13" s="16"/>
      <c r="JJR13" s="16"/>
      <c r="JJS13" s="16"/>
      <c r="JJT13" s="16"/>
      <c r="JJU13" s="16"/>
      <c r="JJV13" s="16"/>
      <c r="JJW13" s="16"/>
      <c r="JJX13" s="16"/>
      <c r="JJY13" s="16"/>
      <c r="JJZ13" s="16"/>
      <c r="JKA13" s="16"/>
      <c r="JKB13" s="16"/>
      <c r="JKC13" s="16"/>
      <c r="JKD13" s="16"/>
      <c r="JKE13" s="16"/>
      <c r="JKF13" s="16"/>
      <c r="JKG13" s="16"/>
      <c r="JKH13" s="16"/>
      <c r="JKI13" s="16"/>
      <c r="JKJ13" s="16"/>
      <c r="JKK13" s="16"/>
      <c r="JKL13" s="16"/>
      <c r="JKM13" s="16"/>
      <c r="JKN13" s="16"/>
      <c r="JKO13" s="16"/>
      <c r="JKP13" s="16"/>
      <c r="JKQ13" s="16"/>
      <c r="JKR13" s="16"/>
      <c r="JKS13" s="16"/>
      <c r="JKT13" s="16"/>
      <c r="JKU13" s="16"/>
      <c r="JKV13" s="16"/>
      <c r="JKW13" s="16"/>
      <c r="JKX13" s="16"/>
      <c r="JKY13" s="16"/>
      <c r="JKZ13" s="16"/>
      <c r="JLA13" s="16"/>
      <c r="JLB13" s="16"/>
      <c r="JLC13" s="16"/>
      <c r="JLD13" s="16"/>
      <c r="JLE13" s="16"/>
      <c r="JLF13" s="16"/>
      <c r="JLG13" s="16"/>
      <c r="JLH13" s="16"/>
      <c r="JLI13" s="16"/>
      <c r="JLJ13" s="16"/>
      <c r="JLK13" s="16"/>
      <c r="JLL13" s="16"/>
      <c r="JLM13" s="16"/>
      <c r="JLN13" s="16"/>
      <c r="JLO13" s="16"/>
      <c r="JLP13" s="16"/>
      <c r="JLQ13" s="16"/>
      <c r="JLR13" s="16"/>
      <c r="JLS13" s="16"/>
      <c r="JLT13" s="16"/>
      <c r="JLU13" s="16"/>
      <c r="JLV13" s="16"/>
      <c r="JLW13" s="16"/>
      <c r="JLX13" s="16"/>
      <c r="JLY13" s="16"/>
      <c r="JLZ13" s="16"/>
      <c r="JMA13" s="16"/>
      <c r="JMB13" s="16"/>
      <c r="JMC13" s="16"/>
      <c r="JMD13" s="16"/>
      <c r="JME13" s="16"/>
      <c r="JMF13" s="16"/>
      <c r="JMG13" s="16"/>
      <c r="JMH13" s="16"/>
      <c r="JMI13" s="16"/>
      <c r="JMJ13" s="16"/>
      <c r="JMK13" s="16"/>
      <c r="JML13" s="16"/>
      <c r="JMM13" s="16"/>
      <c r="JMN13" s="16"/>
      <c r="JMO13" s="16"/>
      <c r="JMP13" s="16"/>
      <c r="JMQ13" s="16"/>
      <c r="JMR13" s="16"/>
      <c r="JMS13" s="16"/>
      <c r="JMT13" s="16"/>
      <c r="JMU13" s="16"/>
      <c r="JMV13" s="16"/>
      <c r="JMW13" s="16"/>
      <c r="JMX13" s="16"/>
      <c r="JMY13" s="16"/>
      <c r="JMZ13" s="16"/>
      <c r="JNA13" s="16"/>
      <c r="JNB13" s="16"/>
      <c r="JNC13" s="16"/>
      <c r="JND13" s="16"/>
      <c r="JNE13" s="16"/>
      <c r="JNF13" s="16"/>
      <c r="JNG13" s="16"/>
      <c r="JNH13" s="16"/>
      <c r="JNI13" s="16"/>
      <c r="JNJ13" s="16"/>
      <c r="JNK13" s="16"/>
      <c r="JNL13" s="16"/>
      <c r="JNM13" s="16"/>
      <c r="JNN13" s="16"/>
      <c r="JNO13" s="16"/>
      <c r="JNP13" s="16"/>
      <c r="JNQ13" s="16"/>
      <c r="JNR13" s="16"/>
      <c r="JNS13" s="16"/>
      <c r="JNT13" s="16"/>
      <c r="JNU13" s="16"/>
      <c r="JNV13" s="16"/>
      <c r="JNW13" s="16"/>
      <c r="JNX13" s="16"/>
      <c r="JNY13" s="16"/>
      <c r="JNZ13" s="16"/>
      <c r="JOA13" s="16"/>
      <c r="JOB13" s="16"/>
      <c r="JOC13" s="16"/>
      <c r="JOD13" s="16"/>
      <c r="JOE13" s="16"/>
      <c r="JOF13" s="16"/>
      <c r="JOG13" s="16"/>
      <c r="JOH13" s="16"/>
      <c r="JOI13" s="16"/>
      <c r="JOJ13" s="16"/>
      <c r="JOK13" s="16"/>
      <c r="JOL13" s="16"/>
      <c r="JOM13" s="16"/>
      <c r="JON13" s="16"/>
      <c r="JOO13" s="16"/>
      <c r="JOP13" s="16"/>
      <c r="JOQ13" s="16"/>
      <c r="JOR13" s="16"/>
      <c r="JOS13" s="16"/>
      <c r="JOT13" s="16"/>
      <c r="JOU13" s="16"/>
      <c r="JOV13" s="16"/>
      <c r="JOW13" s="16"/>
      <c r="JOX13" s="16"/>
      <c r="JOY13" s="16"/>
      <c r="JOZ13" s="16"/>
      <c r="JPA13" s="16"/>
      <c r="JPB13" s="16"/>
      <c r="JPC13" s="16"/>
      <c r="JPD13" s="16"/>
      <c r="JPE13" s="16"/>
      <c r="JPF13" s="16"/>
      <c r="JPG13" s="16"/>
      <c r="JPH13" s="16"/>
      <c r="JPI13" s="16"/>
      <c r="JPJ13" s="16"/>
      <c r="JPK13" s="16"/>
      <c r="JPL13" s="16"/>
      <c r="JPM13" s="16"/>
      <c r="JPN13" s="16"/>
      <c r="JPO13" s="16"/>
      <c r="JPP13" s="16"/>
      <c r="JPQ13" s="16"/>
      <c r="JPR13" s="16"/>
      <c r="JPS13" s="16"/>
      <c r="JPT13" s="16"/>
      <c r="JPU13" s="16"/>
      <c r="JPV13" s="16"/>
      <c r="JPW13" s="16"/>
      <c r="JPX13" s="16"/>
      <c r="JPY13" s="16"/>
      <c r="JPZ13" s="16"/>
      <c r="JQA13" s="16"/>
      <c r="JQB13" s="16"/>
      <c r="JQC13" s="16"/>
      <c r="JQD13" s="16"/>
      <c r="JQE13" s="16"/>
      <c r="JQF13" s="16"/>
      <c r="JQG13" s="16"/>
      <c r="JQH13" s="16"/>
      <c r="JQI13" s="16"/>
      <c r="JQJ13" s="16"/>
      <c r="JQK13" s="16"/>
      <c r="JQL13" s="16"/>
      <c r="JQM13" s="16"/>
      <c r="JQN13" s="16"/>
      <c r="JQO13" s="16"/>
      <c r="JQP13" s="16"/>
      <c r="JQQ13" s="16"/>
      <c r="JQR13" s="16"/>
      <c r="JQS13" s="16"/>
      <c r="JQT13" s="16"/>
      <c r="JQU13" s="16"/>
      <c r="JQV13" s="16"/>
      <c r="JQW13" s="16"/>
      <c r="JQX13" s="16"/>
      <c r="JQY13" s="16"/>
      <c r="JQZ13" s="16"/>
      <c r="JRA13" s="16"/>
      <c r="JRB13" s="16"/>
      <c r="JRC13" s="16"/>
      <c r="JRD13" s="16"/>
      <c r="JRE13" s="16"/>
      <c r="JRF13" s="16"/>
      <c r="JRG13" s="16"/>
      <c r="JRH13" s="16"/>
      <c r="JRI13" s="16"/>
      <c r="JRJ13" s="16"/>
      <c r="JRK13" s="16"/>
      <c r="JRL13" s="16"/>
      <c r="JRM13" s="16"/>
      <c r="JRN13" s="16"/>
      <c r="JRO13" s="16"/>
      <c r="JRP13" s="16"/>
      <c r="JRQ13" s="16"/>
      <c r="JRR13" s="16"/>
      <c r="JRS13" s="16"/>
      <c r="JRT13" s="16"/>
      <c r="JRU13" s="16"/>
      <c r="JRV13" s="16"/>
      <c r="JRW13" s="16"/>
      <c r="JRX13" s="16"/>
      <c r="JRY13" s="16"/>
      <c r="JRZ13" s="16"/>
      <c r="JSA13" s="16"/>
      <c r="JSB13" s="16"/>
      <c r="JSC13" s="16"/>
      <c r="JSD13" s="16"/>
      <c r="JSE13" s="16"/>
      <c r="JSF13" s="16"/>
      <c r="JSG13" s="16"/>
      <c r="JSH13" s="16"/>
      <c r="JSI13" s="16"/>
      <c r="JSJ13" s="16"/>
      <c r="JSK13" s="16"/>
      <c r="JSL13" s="16"/>
      <c r="JSM13" s="16"/>
      <c r="JSN13" s="16"/>
      <c r="JSO13" s="16"/>
      <c r="JSP13" s="16"/>
      <c r="JSQ13" s="16"/>
      <c r="JSR13" s="16"/>
      <c r="JSS13" s="16"/>
      <c r="JST13" s="16"/>
      <c r="JSU13" s="16"/>
      <c r="JSV13" s="16"/>
      <c r="JSW13" s="16"/>
      <c r="JSX13" s="16"/>
      <c r="JSY13" s="16"/>
      <c r="JSZ13" s="16"/>
      <c r="JTA13" s="16"/>
      <c r="JTB13" s="16"/>
      <c r="JTC13" s="16"/>
      <c r="JTD13" s="16"/>
      <c r="JTE13" s="16"/>
      <c r="JTF13" s="16"/>
      <c r="JTG13" s="16"/>
      <c r="JTH13" s="16"/>
      <c r="JTI13" s="16"/>
      <c r="JTJ13" s="16"/>
      <c r="JTK13" s="16"/>
      <c r="JTL13" s="16"/>
      <c r="JTM13" s="16"/>
      <c r="JTN13" s="16"/>
      <c r="JTO13" s="16"/>
      <c r="JTP13" s="16"/>
      <c r="JTQ13" s="16"/>
      <c r="JTR13" s="16"/>
      <c r="JTS13" s="16"/>
      <c r="JTT13" s="16"/>
      <c r="JTU13" s="16"/>
      <c r="JTV13" s="16"/>
      <c r="JTW13" s="16"/>
      <c r="JTX13" s="16"/>
      <c r="JTY13" s="16"/>
      <c r="JTZ13" s="16"/>
      <c r="JUA13" s="16"/>
      <c r="JUB13" s="16"/>
      <c r="JUC13" s="16"/>
      <c r="JUD13" s="16"/>
      <c r="JUE13" s="16"/>
      <c r="JUF13" s="16"/>
      <c r="JUG13" s="16"/>
      <c r="JUH13" s="16"/>
      <c r="JUI13" s="16"/>
      <c r="JUJ13" s="16"/>
      <c r="JUK13" s="16"/>
      <c r="JUL13" s="16"/>
      <c r="JUM13" s="16"/>
      <c r="JUN13" s="16"/>
      <c r="JUO13" s="16"/>
      <c r="JUP13" s="16"/>
      <c r="JUQ13" s="16"/>
      <c r="JUR13" s="16"/>
      <c r="JUS13" s="16"/>
      <c r="JUT13" s="16"/>
      <c r="JUU13" s="16"/>
      <c r="JUV13" s="16"/>
      <c r="JUW13" s="16"/>
      <c r="JUX13" s="16"/>
      <c r="JUY13" s="16"/>
      <c r="JUZ13" s="16"/>
      <c r="JVA13" s="16"/>
      <c r="JVB13" s="16"/>
      <c r="JVC13" s="16"/>
      <c r="JVD13" s="16"/>
      <c r="JVE13" s="16"/>
      <c r="JVF13" s="16"/>
      <c r="JVG13" s="16"/>
      <c r="JVH13" s="16"/>
      <c r="JVI13" s="16"/>
      <c r="JVJ13" s="16"/>
      <c r="JVK13" s="16"/>
      <c r="JVL13" s="16"/>
      <c r="JVM13" s="16"/>
      <c r="JVN13" s="16"/>
      <c r="JVO13" s="16"/>
      <c r="JVP13" s="16"/>
      <c r="JVQ13" s="16"/>
      <c r="JVR13" s="16"/>
      <c r="JVS13" s="16"/>
      <c r="JVT13" s="16"/>
      <c r="JVU13" s="16"/>
      <c r="JVV13" s="16"/>
      <c r="JVW13" s="16"/>
      <c r="JVX13" s="16"/>
      <c r="JVY13" s="16"/>
      <c r="JVZ13" s="16"/>
      <c r="JWA13" s="16"/>
      <c r="JWB13" s="16"/>
      <c r="JWC13" s="16"/>
      <c r="JWD13" s="16"/>
      <c r="JWE13" s="16"/>
      <c r="JWF13" s="16"/>
      <c r="JWG13" s="16"/>
      <c r="JWH13" s="16"/>
      <c r="JWI13" s="16"/>
      <c r="JWJ13" s="16"/>
      <c r="JWK13" s="16"/>
      <c r="JWL13" s="16"/>
      <c r="JWM13" s="16"/>
      <c r="JWN13" s="16"/>
      <c r="JWO13" s="16"/>
      <c r="JWP13" s="16"/>
      <c r="JWQ13" s="16"/>
      <c r="JWR13" s="16"/>
      <c r="JWS13" s="16"/>
      <c r="JWT13" s="16"/>
      <c r="JWU13" s="16"/>
      <c r="JWV13" s="16"/>
      <c r="JWW13" s="16"/>
      <c r="JWX13" s="16"/>
      <c r="JWY13" s="16"/>
      <c r="JWZ13" s="16"/>
      <c r="JXA13" s="16"/>
      <c r="JXB13" s="16"/>
      <c r="JXC13" s="16"/>
      <c r="JXD13" s="16"/>
      <c r="JXE13" s="16"/>
      <c r="JXF13" s="16"/>
      <c r="JXG13" s="16"/>
      <c r="JXH13" s="16"/>
      <c r="JXI13" s="16"/>
      <c r="JXJ13" s="16"/>
      <c r="JXK13" s="16"/>
      <c r="JXL13" s="16"/>
      <c r="JXM13" s="16"/>
      <c r="JXN13" s="16"/>
      <c r="JXO13" s="16"/>
      <c r="JXP13" s="16"/>
      <c r="JXQ13" s="16"/>
      <c r="JXR13" s="16"/>
      <c r="JXS13" s="16"/>
      <c r="JXT13" s="16"/>
      <c r="JXU13" s="16"/>
      <c r="JXV13" s="16"/>
      <c r="JXW13" s="16"/>
      <c r="JXX13" s="16"/>
      <c r="JXY13" s="16"/>
      <c r="JXZ13" s="16"/>
      <c r="JYA13" s="16"/>
      <c r="JYB13" s="16"/>
      <c r="JYC13" s="16"/>
      <c r="JYD13" s="16"/>
      <c r="JYE13" s="16"/>
      <c r="JYF13" s="16"/>
      <c r="JYG13" s="16"/>
      <c r="JYH13" s="16"/>
      <c r="JYI13" s="16"/>
      <c r="JYJ13" s="16"/>
      <c r="JYK13" s="16"/>
      <c r="JYL13" s="16"/>
      <c r="JYM13" s="16"/>
      <c r="JYN13" s="16"/>
      <c r="JYO13" s="16"/>
      <c r="JYP13" s="16"/>
      <c r="JYQ13" s="16"/>
      <c r="JYR13" s="16"/>
      <c r="JYS13" s="16"/>
      <c r="JYT13" s="16"/>
      <c r="JYU13" s="16"/>
      <c r="JYV13" s="16"/>
      <c r="JYW13" s="16"/>
      <c r="JYX13" s="16"/>
      <c r="JYY13" s="16"/>
      <c r="JYZ13" s="16"/>
      <c r="JZA13" s="16"/>
      <c r="JZB13" s="16"/>
      <c r="JZC13" s="16"/>
      <c r="JZD13" s="16"/>
      <c r="JZE13" s="16"/>
      <c r="JZF13" s="16"/>
      <c r="JZG13" s="16"/>
      <c r="JZH13" s="16"/>
      <c r="JZI13" s="16"/>
      <c r="JZJ13" s="16"/>
      <c r="JZK13" s="16"/>
      <c r="JZL13" s="16"/>
      <c r="JZM13" s="16"/>
      <c r="JZN13" s="16"/>
      <c r="JZO13" s="16"/>
      <c r="JZP13" s="16"/>
      <c r="JZQ13" s="16"/>
      <c r="JZR13" s="16"/>
      <c r="JZS13" s="16"/>
      <c r="JZT13" s="16"/>
      <c r="JZU13" s="16"/>
      <c r="JZV13" s="16"/>
      <c r="JZW13" s="16"/>
      <c r="JZX13" s="16"/>
      <c r="JZY13" s="16"/>
      <c r="JZZ13" s="16"/>
      <c r="KAA13" s="16"/>
      <c r="KAB13" s="16"/>
      <c r="KAC13" s="16"/>
      <c r="KAD13" s="16"/>
      <c r="KAE13" s="16"/>
      <c r="KAF13" s="16"/>
      <c r="KAG13" s="16"/>
      <c r="KAH13" s="16"/>
      <c r="KAI13" s="16"/>
      <c r="KAJ13" s="16"/>
      <c r="KAK13" s="16"/>
      <c r="KAL13" s="16"/>
      <c r="KAM13" s="16"/>
      <c r="KAN13" s="16"/>
      <c r="KAO13" s="16"/>
      <c r="KAP13" s="16"/>
      <c r="KAQ13" s="16"/>
      <c r="KAR13" s="16"/>
      <c r="KAS13" s="16"/>
      <c r="KAT13" s="16"/>
      <c r="KAU13" s="16"/>
      <c r="KAV13" s="16"/>
      <c r="KAW13" s="16"/>
      <c r="KAX13" s="16"/>
      <c r="KAY13" s="16"/>
      <c r="KAZ13" s="16"/>
      <c r="KBA13" s="16"/>
      <c r="KBB13" s="16"/>
      <c r="KBC13" s="16"/>
      <c r="KBD13" s="16"/>
      <c r="KBE13" s="16"/>
      <c r="KBF13" s="16"/>
      <c r="KBG13" s="16"/>
      <c r="KBH13" s="16"/>
      <c r="KBI13" s="16"/>
      <c r="KBJ13" s="16"/>
      <c r="KBK13" s="16"/>
      <c r="KBL13" s="16"/>
      <c r="KBM13" s="16"/>
      <c r="KBN13" s="16"/>
      <c r="KBO13" s="16"/>
      <c r="KBP13" s="16"/>
      <c r="KBQ13" s="16"/>
      <c r="KBR13" s="16"/>
      <c r="KBS13" s="16"/>
      <c r="KBT13" s="16"/>
      <c r="KBU13" s="16"/>
      <c r="KBV13" s="16"/>
      <c r="KBW13" s="16"/>
      <c r="KBX13" s="16"/>
      <c r="KBY13" s="16"/>
      <c r="KBZ13" s="16"/>
      <c r="KCA13" s="16"/>
      <c r="KCB13" s="16"/>
      <c r="KCC13" s="16"/>
      <c r="KCD13" s="16"/>
      <c r="KCE13" s="16"/>
      <c r="KCF13" s="16"/>
      <c r="KCG13" s="16"/>
      <c r="KCH13" s="16"/>
      <c r="KCI13" s="16"/>
      <c r="KCJ13" s="16"/>
      <c r="KCK13" s="16"/>
      <c r="KCL13" s="16"/>
      <c r="KCM13" s="16"/>
      <c r="KCN13" s="16"/>
      <c r="KCO13" s="16"/>
      <c r="KCP13" s="16"/>
      <c r="KCQ13" s="16"/>
      <c r="KCR13" s="16"/>
      <c r="KCS13" s="16"/>
      <c r="KCT13" s="16"/>
      <c r="KCU13" s="16"/>
      <c r="KCV13" s="16"/>
      <c r="KCW13" s="16"/>
      <c r="KCX13" s="16"/>
      <c r="KCY13" s="16"/>
      <c r="KCZ13" s="16"/>
      <c r="KDA13" s="16"/>
      <c r="KDB13" s="16"/>
      <c r="KDC13" s="16"/>
      <c r="KDD13" s="16"/>
      <c r="KDE13" s="16"/>
      <c r="KDF13" s="16"/>
      <c r="KDG13" s="16"/>
      <c r="KDH13" s="16"/>
      <c r="KDI13" s="16"/>
      <c r="KDJ13" s="16"/>
      <c r="KDK13" s="16"/>
      <c r="KDL13" s="16"/>
      <c r="KDM13" s="16"/>
      <c r="KDN13" s="16"/>
      <c r="KDO13" s="16"/>
      <c r="KDP13" s="16"/>
      <c r="KDQ13" s="16"/>
      <c r="KDR13" s="16"/>
      <c r="KDS13" s="16"/>
      <c r="KDT13" s="16"/>
      <c r="KDU13" s="16"/>
      <c r="KDV13" s="16"/>
      <c r="KDW13" s="16"/>
      <c r="KDX13" s="16"/>
      <c r="KDY13" s="16"/>
      <c r="KDZ13" s="16"/>
      <c r="KEA13" s="16"/>
      <c r="KEB13" s="16"/>
      <c r="KEC13" s="16"/>
      <c r="KED13" s="16"/>
      <c r="KEE13" s="16"/>
      <c r="KEF13" s="16"/>
      <c r="KEG13" s="16"/>
      <c r="KEH13" s="16"/>
      <c r="KEI13" s="16"/>
      <c r="KEJ13" s="16"/>
      <c r="KEK13" s="16"/>
      <c r="KEL13" s="16"/>
      <c r="KEM13" s="16"/>
      <c r="KEN13" s="16"/>
      <c r="KEO13" s="16"/>
      <c r="KEP13" s="16"/>
      <c r="KEQ13" s="16"/>
      <c r="KER13" s="16"/>
      <c r="KES13" s="16"/>
      <c r="KET13" s="16"/>
      <c r="KEU13" s="16"/>
      <c r="KEV13" s="16"/>
      <c r="KEW13" s="16"/>
      <c r="KEX13" s="16"/>
      <c r="KEY13" s="16"/>
      <c r="KEZ13" s="16"/>
      <c r="KFA13" s="16"/>
      <c r="KFB13" s="16"/>
      <c r="KFC13" s="16"/>
      <c r="KFD13" s="16"/>
      <c r="KFE13" s="16"/>
      <c r="KFF13" s="16"/>
      <c r="KFG13" s="16"/>
      <c r="KFH13" s="16"/>
      <c r="KFI13" s="16"/>
      <c r="KFJ13" s="16"/>
      <c r="KFK13" s="16"/>
      <c r="KFL13" s="16"/>
      <c r="KFM13" s="16"/>
      <c r="KFN13" s="16"/>
      <c r="KFO13" s="16"/>
      <c r="KFP13" s="16"/>
      <c r="KFQ13" s="16"/>
      <c r="KFR13" s="16"/>
      <c r="KFS13" s="16"/>
      <c r="KFT13" s="16"/>
      <c r="KFU13" s="16"/>
      <c r="KFV13" s="16"/>
      <c r="KFW13" s="16"/>
      <c r="KFX13" s="16"/>
      <c r="KFY13" s="16"/>
      <c r="KFZ13" s="16"/>
      <c r="KGA13" s="16"/>
      <c r="KGB13" s="16"/>
      <c r="KGC13" s="16"/>
      <c r="KGD13" s="16"/>
      <c r="KGE13" s="16"/>
      <c r="KGF13" s="16"/>
      <c r="KGG13" s="16"/>
      <c r="KGH13" s="16"/>
      <c r="KGI13" s="16"/>
      <c r="KGJ13" s="16"/>
      <c r="KGK13" s="16"/>
      <c r="KGL13" s="16"/>
      <c r="KGM13" s="16"/>
      <c r="KGN13" s="16"/>
      <c r="KGO13" s="16"/>
      <c r="KGP13" s="16"/>
      <c r="KGQ13" s="16"/>
      <c r="KGR13" s="16"/>
      <c r="KGS13" s="16"/>
      <c r="KGT13" s="16"/>
      <c r="KGU13" s="16"/>
      <c r="KGV13" s="16"/>
      <c r="KGW13" s="16"/>
      <c r="KGX13" s="16"/>
      <c r="KGY13" s="16"/>
      <c r="KGZ13" s="16"/>
      <c r="KHA13" s="16"/>
      <c r="KHB13" s="16"/>
      <c r="KHC13" s="16"/>
      <c r="KHD13" s="16"/>
      <c r="KHE13" s="16"/>
      <c r="KHF13" s="16"/>
      <c r="KHG13" s="16"/>
      <c r="KHH13" s="16"/>
      <c r="KHI13" s="16"/>
      <c r="KHJ13" s="16"/>
      <c r="KHK13" s="16"/>
      <c r="KHL13" s="16"/>
      <c r="KHM13" s="16"/>
      <c r="KHN13" s="16"/>
      <c r="KHO13" s="16"/>
      <c r="KHP13" s="16"/>
      <c r="KHQ13" s="16"/>
      <c r="KHR13" s="16"/>
      <c r="KHS13" s="16"/>
      <c r="KHT13" s="16"/>
      <c r="KHU13" s="16"/>
      <c r="KHV13" s="16"/>
      <c r="KHW13" s="16"/>
      <c r="KHX13" s="16"/>
      <c r="KHY13" s="16"/>
      <c r="KHZ13" s="16"/>
      <c r="KIA13" s="16"/>
      <c r="KIB13" s="16"/>
      <c r="KIC13" s="16"/>
      <c r="KID13" s="16"/>
      <c r="KIE13" s="16"/>
      <c r="KIF13" s="16"/>
      <c r="KIG13" s="16"/>
      <c r="KIH13" s="16"/>
      <c r="KII13" s="16"/>
      <c r="KIJ13" s="16"/>
      <c r="KIK13" s="16"/>
      <c r="KIL13" s="16"/>
      <c r="KIM13" s="16"/>
      <c r="KIN13" s="16"/>
      <c r="KIO13" s="16"/>
      <c r="KIP13" s="16"/>
      <c r="KIQ13" s="16"/>
      <c r="KIR13" s="16"/>
      <c r="KIS13" s="16"/>
      <c r="KIT13" s="16"/>
      <c r="KIU13" s="16"/>
      <c r="KIV13" s="16"/>
      <c r="KIW13" s="16"/>
      <c r="KIX13" s="16"/>
      <c r="KIY13" s="16"/>
      <c r="KIZ13" s="16"/>
      <c r="KJA13" s="16"/>
      <c r="KJB13" s="16"/>
      <c r="KJC13" s="16"/>
      <c r="KJD13" s="16"/>
      <c r="KJE13" s="16"/>
      <c r="KJF13" s="16"/>
      <c r="KJG13" s="16"/>
      <c r="KJH13" s="16"/>
      <c r="KJI13" s="16"/>
      <c r="KJJ13" s="16"/>
      <c r="KJK13" s="16"/>
      <c r="KJL13" s="16"/>
      <c r="KJM13" s="16"/>
      <c r="KJN13" s="16"/>
      <c r="KJO13" s="16"/>
      <c r="KJP13" s="16"/>
      <c r="KJQ13" s="16"/>
      <c r="KJR13" s="16"/>
      <c r="KJS13" s="16"/>
      <c r="KJT13" s="16"/>
      <c r="KJU13" s="16"/>
      <c r="KJV13" s="16"/>
      <c r="KJW13" s="16"/>
      <c r="KJX13" s="16"/>
      <c r="KJY13" s="16"/>
      <c r="KJZ13" s="16"/>
      <c r="KKA13" s="16"/>
      <c r="KKB13" s="16"/>
      <c r="KKC13" s="16"/>
      <c r="KKD13" s="16"/>
      <c r="KKE13" s="16"/>
      <c r="KKF13" s="16"/>
      <c r="KKG13" s="16"/>
      <c r="KKH13" s="16"/>
      <c r="KKI13" s="16"/>
      <c r="KKJ13" s="16"/>
      <c r="KKK13" s="16"/>
      <c r="KKL13" s="16"/>
      <c r="KKM13" s="16"/>
      <c r="KKN13" s="16"/>
      <c r="KKO13" s="16"/>
      <c r="KKP13" s="16"/>
      <c r="KKQ13" s="16"/>
      <c r="KKR13" s="16"/>
      <c r="KKS13" s="16"/>
      <c r="KKT13" s="16"/>
      <c r="KKU13" s="16"/>
      <c r="KKV13" s="16"/>
      <c r="KKW13" s="16"/>
      <c r="KKX13" s="16"/>
      <c r="KKY13" s="16"/>
      <c r="KKZ13" s="16"/>
      <c r="KLA13" s="16"/>
      <c r="KLB13" s="16"/>
      <c r="KLC13" s="16"/>
      <c r="KLD13" s="16"/>
      <c r="KLE13" s="16"/>
      <c r="KLF13" s="16"/>
      <c r="KLG13" s="16"/>
      <c r="KLH13" s="16"/>
      <c r="KLI13" s="16"/>
      <c r="KLJ13" s="16"/>
      <c r="KLK13" s="16"/>
      <c r="KLL13" s="16"/>
      <c r="KLM13" s="16"/>
      <c r="KLN13" s="16"/>
      <c r="KLO13" s="16"/>
      <c r="KLP13" s="16"/>
      <c r="KLQ13" s="16"/>
      <c r="KLR13" s="16"/>
      <c r="KLS13" s="16"/>
      <c r="KLT13" s="16"/>
      <c r="KLU13" s="16"/>
      <c r="KLV13" s="16"/>
      <c r="KLW13" s="16"/>
      <c r="KLX13" s="16"/>
      <c r="KLY13" s="16"/>
      <c r="KLZ13" s="16"/>
      <c r="KMA13" s="16"/>
      <c r="KMB13" s="16"/>
      <c r="KMC13" s="16"/>
      <c r="KMD13" s="16"/>
      <c r="KME13" s="16"/>
      <c r="KMF13" s="16"/>
      <c r="KMG13" s="16"/>
      <c r="KMH13" s="16"/>
      <c r="KMI13" s="16"/>
      <c r="KMJ13" s="16"/>
      <c r="KMK13" s="16"/>
      <c r="KML13" s="16"/>
      <c r="KMM13" s="16"/>
      <c r="KMN13" s="16"/>
      <c r="KMO13" s="16"/>
      <c r="KMP13" s="16"/>
      <c r="KMQ13" s="16"/>
      <c r="KMR13" s="16"/>
      <c r="KMS13" s="16"/>
      <c r="KMT13" s="16"/>
      <c r="KMU13" s="16"/>
      <c r="KMV13" s="16"/>
      <c r="KMW13" s="16"/>
      <c r="KMX13" s="16"/>
      <c r="KMY13" s="16"/>
      <c r="KMZ13" s="16"/>
      <c r="KNA13" s="16"/>
      <c r="KNB13" s="16"/>
      <c r="KNC13" s="16"/>
      <c r="KND13" s="16"/>
      <c r="KNE13" s="16"/>
      <c r="KNF13" s="16"/>
      <c r="KNG13" s="16"/>
      <c r="KNH13" s="16"/>
      <c r="KNI13" s="16"/>
      <c r="KNJ13" s="16"/>
      <c r="KNK13" s="16"/>
      <c r="KNL13" s="16"/>
      <c r="KNM13" s="16"/>
      <c r="KNN13" s="16"/>
      <c r="KNO13" s="16"/>
      <c r="KNP13" s="16"/>
      <c r="KNQ13" s="16"/>
      <c r="KNR13" s="16"/>
      <c r="KNS13" s="16"/>
      <c r="KNT13" s="16"/>
      <c r="KNU13" s="16"/>
      <c r="KNV13" s="16"/>
      <c r="KNW13" s="16"/>
      <c r="KNX13" s="16"/>
      <c r="KNY13" s="16"/>
      <c r="KNZ13" s="16"/>
      <c r="KOA13" s="16"/>
      <c r="KOB13" s="16"/>
      <c r="KOC13" s="16"/>
      <c r="KOD13" s="16"/>
      <c r="KOE13" s="16"/>
      <c r="KOF13" s="16"/>
      <c r="KOG13" s="16"/>
      <c r="KOH13" s="16"/>
      <c r="KOI13" s="16"/>
      <c r="KOJ13" s="16"/>
      <c r="KOK13" s="16"/>
      <c r="KOL13" s="16"/>
      <c r="KOM13" s="16"/>
      <c r="KON13" s="16"/>
      <c r="KOO13" s="16"/>
      <c r="KOP13" s="16"/>
      <c r="KOQ13" s="16"/>
      <c r="KOR13" s="16"/>
      <c r="KOS13" s="16"/>
      <c r="KOT13" s="16"/>
      <c r="KOU13" s="16"/>
      <c r="KOV13" s="16"/>
      <c r="KOW13" s="16"/>
      <c r="KOX13" s="16"/>
      <c r="KOY13" s="16"/>
      <c r="KOZ13" s="16"/>
      <c r="KPA13" s="16"/>
      <c r="KPB13" s="16"/>
      <c r="KPC13" s="16"/>
      <c r="KPD13" s="16"/>
      <c r="KPE13" s="16"/>
      <c r="KPF13" s="16"/>
      <c r="KPG13" s="16"/>
      <c r="KPH13" s="16"/>
      <c r="KPI13" s="16"/>
      <c r="KPJ13" s="16"/>
      <c r="KPK13" s="16"/>
      <c r="KPL13" s="16"/>
      <c r="KPM13" s="16"/>
      <c r="KPN13" s="16"/>
      <c r="KPO13" s="16"/>
      <c r="KPP13" s="16"/>
      <c r="KPQ13" s="16"/>
      <c r="KPR13" s="16"/>
      <c r="KPS13" s="16"/>
      <c r="KPT13" s="16"/>
      <c r="KPU13" s="16"/>
      <c r="KPV13" s="16"/>
      <c r="KPW13" s="16"/>
      <c r="KPX13" s="16"/>
      <c r="KPY13" s="16"/>
      <c r="KPZ13" s="16"/>
      <c r="KQA13" s="16"/>
      <c r="KQB13" s="16"/>
      <c r="KQC13" s="16"/>
      <c r="KQD13" s="16"/>
      <c r="KQE13" s="16"/>
      <c r="KQF13" s="16"/>
      <c r="KQG13" s="16"/>
      <c r="KQH13" s="16"/>
      <c r="KQI13" s="16"/>
      <c r="KQJ13" s="16"/>
      <c r="KQK13" s="16"/>
      <c r="KQL13" s="16"/>
      <c r="KQM13" s="16"/>
      <c r="KQN13" s="16"/>
      <c r="KQO13" s="16"/>
      <c r="KQP13" s="16"/>
      <c r="KQQ13" s="16"/>
      <c r="KQR13" s="16"/>
      <c r="KQS13" s="16"/>
      <c r="KQT13" s="16"/>
      <c r="KQU13" s="16"/>
      <c r="KQV13" s="16"/>
      <c r="KQW13" s="16"/>
      <c r="KQX13" s="16"/>
      <c r="KQY13" s="16"/>
      <c r="KQZ13" s="16"/>
      <c r="KRA13" s="16"/>
      <c r="KRB13" s="16"/>
      <c r="KRC13" s="16"/>
      <c r="KRD13" s="16"/>
      <c r="KRE13" s="16"/>
      <c r="KRF13" s="16"/>
      <c r="KRG13" s="16"/>
      <c r="KRH13" s="16"/>
      <c r="KRI13" s="16"/>
      <c r="KRJ13" s="16"/>
      <c r="KRK13" s="16"/>
      <c r="KRL13" s="16"/>
      <c r="KRM13" s="16"/>
      <c r="KRN13" s="16"/>
      <c r="KRO13" s="16"/>
      <c r="KRP13" s="16"/>
      <c r="KRQ13" s="16"/>
      <c r="KRR13" s="16"/>
      <c r="KRS13" s="16"/>
      <c r="KRT13" s="16"/>
      <c r="KRU13" s="16"/>
      <c r="KRV13" s="16"/>
      <c r="KRW13" s="16"/>
      <c r="KRX13" s="16"/>
      <c r="KRY13" s="16"/>
      <c r="KRZ13" s="16"/>
      <c r="KSA13" s="16"/>
      <c r="KSB13" s="16"/>
      <c r="KSC13" s="16"/>
      <c r="KSD13" s="16"/>
      <c r="KSE13" s="16"/>
      <c r="KSF13" s="16"/>
      <c r="KSG13" s="16"/>
      <c r="KSH13" s="16"/>
      <c r="KSI13" s="16"/>
      <c r="KSJ13" s="16"/>
      <c r="KSK13" s="16"/>
      <c r="KSL13" s="16"/>
      <c r="KSM13" s="16"/>
      <c r="KSN13" s="16"/>
      <c r="KSO13" s="16"/>
      <c r="KSP13" s="16"/>
      <c r="KSQ13" s="16"/>
      <c r="KSR13" s="16"/>
      <c r="KSS13" s="16"/>
      <c r="KST13" s="16"/>
      <c r="KSU13" s="16"/>
      <c r="KSV13" s="16"/>
      <c r="KSW13" s="16"/>
      <c r="KSX13" s="16"/>
      <c r="KSY13" s="16"/>
      <c r="KSZ13" s="16"/>
      <c r="KTA13" s="16"/>
      <c r="KTB13" s="16"/>
      <c r="KTC13" s="16"/>
      <c r="KTD13" s="16"/>
      <c r="KTE13" s="16"/>
      <c r="KTF13" s="16"/>
      <c r="KTG13" s="16"/>
      <c r="KTH13" s="16"/>
      <c r="KTI13" s="16"/>
      <c r="KTJ13" s="16"/>
      <c r="KTK13" s="16"/>
      <c r="KTL13" s="16"/>
      <c r="KTM13" s="16"/>
      <c r="KTN13" s="16"/>
      <c r="KTO13" s="16"/>
      <c r="KTP13" s="16"/>
      <c r="KTQ13" s="16"/>
      <c r="KTR13" s="16"/>
      <c r="KTS13" s="16"/>
      <c r="KTT13" s="16"/>
      <c r="KTU13" s="16"/>
      <c r="KTV13" s="16"/>
      <c r="KTW13" s="16"/>
      <c r="KTX13" s="16"/>
      <c r="KTY13" s="16"/>
      <c r="KTZ13" s="16"/>
      <c r="KUA13" s="16"/>
      <c r="KUB13" s="16"/>
      <c r="KUC13" s="16"/>
      <c r="KUD13" s="16"/>
      <c r="KUE13" s="16"/>
      <c r="KUF13" s="16"/>
      <c r="KUG13" s="16"/>
      <c r="KUH13" s="16"/>
      <c r="KUI13" s="16"/>
      <c r="KUJ13" s="16"/>
      <c r="KUK13" s="16"/>
      <c r="KUL13" s="16"/>
      <c r="KUM13" s="16"/>
      <c r="KUN13" s="16"/>
      <c r="KUO13" s="16"/>
      <c r="KUP13" s="16"/>
      <c r="KUQ13" s="16"/>
      <c r="KUR13" s="16"/>
      <c r="KUS13" s="16"/>
      <c r="KUT13" s="16"/>
      <c r="KUU13" s="16"/>
      <c r="KUV13" s="16"/>
      <c r="KUW13" s="16"/>
      <c r="KUX13" s="16"/>
      <c r="KUY13" s="16"/>
      <c r="KUZ13" s="16"/>
      <c r="KVA13" s="16"/>
      <c r="KVB13" s="16"/>
      <c r="KVC13" s="16"/>
      <c r="KVD13" s="16"/>
      <c r="KVE13" s="16"/>
      <c r="KVF13" s="16"/>
      <c r="KVG13" s="16"/>
      <c r="KVH13" s="16"/>
      <c r="KVI13" s="16"/>
      <c r="KVJ13" s="16"/>
      <c r="KVK13" s="16"/>
      <c r="KVL13" s="16"/>
      <c r="KVM13" s="16"/>
      <c r="KVN13" s="16"/>
      <c r="KVO13" s="16"/>
      <c r="KVP13" s="16"/>
      <c r="KVQ13" s="16"/>
      <c r="KVR13" s="16"/>
      <c r="KVS13" s="16"/>
      <c r="KVT13" s="16"/>
      <c r="KVU13" s="16"/>
      <c r="KVV13" s="16"/>
      <c r="KVW13" s="16"/>
      <c r="KVX13" s="16"/>
      <c r="KVY13" s="16"/>
      <c r="KVZ13" s="16"/>
      <c r="KWA13" s="16"/>
      <c r="KWB13" s="16"/>
      <c r="KWC13" s="16"/>
      <c r="KWD13" s="16"/>
      <c r="KWE13" s="16"/>
      <c r="KWF13" s="16"/>
      <c r="KWG13" s="16"/>
      <c r="KWH13" s="16"/>
      <c r="KWI13" s="16"/>
      <c r="KWJ13" s="16"/>
      <c r="KWK13" s="16"/>
      <c r="KWL13" s="16"/>
      <c r="KWM13" s="16"/>
      <c r="KWN13" s="16"/>
      <c r="KWO13" s="16"/>
      <c r="KWP13" s="16"/>
      <c r="KWQ13" s="16"/>
      <c r="KWR13" s="16"/>
      <c r="KWS13" s="16"/>
      <c r="KWT13" s="16"/>
      <c r="KWU13" s="16"/>
      <c r="KWV13" s="16"/>
      <c r="KWW13" s="16"/>
      <c r="KWX13" s="16"/>
      <c r="KWY13" s="16"/>
      <c r="KWZ13" s="16"/>
      <c r="KXA13" s="16"/>
      <c r="KXB13" s="16"/>
      <c r="KXC13" s="16"/>
      <c r="KXD13" s="16"/>
      <c r="KXE13" s="16"/>
      <c r="KXF13" s="16"/>
      <c r="KXG13" s="16"/>
      <c r="KXH13" s="16"/>
      <c r="KXI13" s="16"/>
      <c r="KXJ13" s="16"/>
      <c r="KXK13" s="16"/>
      <c r="KXL13" s="16"/>
      <c r="KXM13" s="16"/>
      <c r="KXN13" s="16"/>
      <c r="KXO13" s="16"/>
      <c r="KXP13" s="16"/>
      <c r="KXQ13" s="16"/>
      <c r="KXR13" s="16"/>
      <c r="KXS13" s="16"/>
      <c r="KXT13" s="16"/>
      <c r="KXU13" s="16"/>
      <c r="KXV13" s="16"/>
      <c r="KXW13" s="16"/>
      <c r="KXX13" s="16"/>
      <c r="KXY13" s="16"/>
      <c r="KXZ13" s="16"/>
      <c r="KYA13" s="16"/>
      <c r="KYB13" s="16"/>
      <c r="KYC13" s="16"/>
      <c r="KYD13" s="16"/>
      <c r="KYE13" s="16"/>
      <c r="KYF13" s="16"/>
      <c r="KYG13" s="16"/>
      <c r="KYH13" s="16"/>
      <c r="KYI13" s="16"/>
      <c r="KYJ13" s="16"/>
      <c r="KYK13" s="16"/>
      <c r="KYL13" s="16"/>
      <c r="KYM13" s="16"/>
      <c r="KYN13" s="16"/>
      <c r="KYO13" s="16"/>
      <c r="KYP13" s="16"/>
      <c r="KYQ13" s="16"/>
      <c r="KYR13" s="16"/>
      <c r="KYS13" s="16"/>
      <c r="KYT13" s="16"/>
      <c r="KYU13" s="16"/>
      <c r="KYV13" s="16"/>
      <c r="KYW13" s="16"/>
      <c r="KYX13" s="16"/>
      <c r="KYY13" s="16"/>
      <c r="KYZ13" s="16"/>
      <c r="KZA13" s="16"/>
      <c r="KZB13" s="16"/>
      <c r="KZC13" s="16"/>
      <c r="KZD13" s="16"/>
      <c r="KZE13" s="16"/>
      <c r="KZF13" s="16"/>
      <c r="KZG13" s="16"/>
      <c r="KZH13" s="16"/>
      <c r="KZI13" s="16"/>
      <c r="KZJ13" s="16"/>
      <c r="KZK13" s="16"/>
      <c r="KZL13" s="16"/>
      <c r="KZM13" s="16"/>
      <c r="KZN13" s="16"/>
      <c r="KZO13" s="16"/>
      <c r="KZP13" s="16"/>
      <c r="KZQ13" s="16"/>
      <c r="KZR13" s="16"/>
      <c r="KZS13" s="16"/>
      <c r="KZT13" s="16"/>
      <c r="KZU13" s="16"/>
      <c r="KZV13" s="16"/>
      <c r="KZW13" s="16"/>
      <c r="KZX13" s="16"/>
      <c r="KZY13" s="16"/>
      <c r="KZZ13" s="16"/>
      <c r="LAA13" s="16"/>
      <c r="LAB13" s="16"/>
      <c r="LAC13" s="16"/>
      <c r="LAD13" s="16"/>
      <c r="LAE13" s="16"/>
      <c r="LAF13" s="16"/>
      <c r="LAG13" s="16"/>
      <c r="LAH13" s="16"/>
      <c r="LAI13" s="16"/>
      <c r="LAJ13" s="16"/>
      <c r="LAK13" s="16"/>
      <c r="LAL13" s="16"/>
      <c r="LAM13" s="16"/>
      <c r="LAN13" s="16"/>
      <c r="LAO13" s="16"/>
      <c r="LAP13" s="16"/>
      <c r="LAQ13" s="16"/>
      <c r="LAR13" s="16"/>
      <c r="LAS13" s="16"/>
      <c r="LAT13" s="16"/>
      <c r="LAU13" s="16"/>
      <c r="LAV13" s="16"/>
      <c r="LAW13" s="16"/>
      <c r="LAX13" s="16"/>
      <c r="LAY13" s="16"/>
      <c r="LAZ13" s="16"/>
      <c r="LBA13" s="16"/>
      <c r="LBB13" s="16"/>
      <c r="LBC13" s="16"/>
      <c r="LBD13" s="16"/>
      <c r="LBE13" s="16"/>
      <c r="LBF13" s="16"/>
      <c r="LBG13" s="16"/>
      <c r="LBH13" s="16"/>
      <c r="LBI13" s="16"/>
      <c r="LBJ13" s="16"/>
      <c r="LBK13" s="16"/>
      <c r="LBL13" s="16"/>
      <c r="LBM13" s="16"/>
      <c r="LBN13" s="16"/>
      <c r="LBO13" s="16"/>
      <c r="LBP13" s="16"/>
      <c r="LBQ13" s="16"/>
      <c r="LBR13" s="16"/>
      <c r="LBS13" s="16"/>
      <c r="LBT13" s="16"/>
      <c r="LBU13" s="16"/>
      <c r="LBV13" s="16"/>
      <c r="LBW13" s="16"/>
      <c r="LBX13" s="16"/>
      <c r="LBY13" s="16"/>
      <c r="LBZ13" s="16"/>
      <c r="LCA13" s="16"/>
      <c r="LCB13" s="16"/>
      <c r="LCC13" s="16"/>
      <c r="LCD13" s="16"/>
      <c r="LCE13" s="16"/>
      <c r="LCF13" s="16"/>
      <c r="LCG13" s="16"/>
      <c r="LCH13" s="16"/>
      <c r="LCI13" s="16"/>
      <c r="LCJ13" s="16"/>
      <c r="LCK13" s="16"/>
      <c r="LCL13" s="16"/>
      <c r="LCM13" s="16"/>
      <c r="LCN13" s="16"/>
      <c r="LCO13" s="16"/>
      <c r="LCP13" s="16"/>
      <c r="LCQ13" s="16"/>
      <c r="LCR13" s="16"/>
      <c r="LCS13" s="16"/>
      <c r="LCT13" s="16"/>
      <c r="LCU13" s="16"/>
      <c r="LCV13" s="16"/>
      <c r="LCW13" s="16"/>
      <c r="LCX13" s="16"/>
      <c r="LCY13" s="16"/>
      <c r="LCZ13" s="16"/>
      <c r="LDA13" s="16"/>
      <c r="LDB13" s="16"/>
      <c r="LDC13" s="16"/>
      <c r="LDD13" s="16"/>
      <c r="LDE13" s="16"/>
      <c r="LDF13" s="16"/>
      <c r="LDG13" s="16"/>
      <c r="LDH13" s="16"/>
      <c r="LDI13" s="16"/>
      <c r="LDJ13" s="16"/>
      <c r="LDK13" s="16"/>
      <c r="LDL13" s="16"/>
      <c r="LDM13" s="16"/>
      <c r="LDN13" s="16"/>
      <c r="LDO13" s="16"/>
      <c r="LDP13" s="16"/>
      <c r="LDQ13" s="16"/>
      <c r="LDR13" s="16"/>
      <c r="LDS13" s="16"/>
      <c r="LDT13" s="16"/>
      <c r="LDU13" s="16"/>
      <c r="LDV13" s="16"/>
      <c r="LDW13" s="16"/>
      <c r="LDX13" s="16"/>
      <c r="LDY13" s="16"/>
      <c r="LDZ13" s="16"/>
      <c r="LEA13" s="16"/>
      <c r="LEB13" s="16"/>
      <c r="LEC13" s="16"/>
      <c r="LED13" s="16"/>
      <c r="LEE13" s="16"/>
      <c r="LEF13" s="16"/>
      <c r="LEG13" s="16"/>
      <c r="LEH13" s="16"/>
      <c r="LEI13" s="16"/>
      <c r="LEJ13" s="16"/>
      <c r="LEK13" s="16"/>
      <c r="LEL13" s="16"/>
      <c r="LEM13" s="16"/>
      <c r="LEN13" s="16"/>
      <c r="LEO13" s="16"/>
      <c r="LEP13" s="16"/>
      <c r="LEQ13" s="16"/>
      <c r="LER13" s="16"/>
      <c r="LES13" s="16"/>
      <c r="LET13" s="16"/>
      <c r="LEU13" s="16"/>
      <c r="LEV13" s="16"/>
      <c r="LEW13" s="16"/>
      <c r="LEX13" s="16"/>
      <c r="LEY13" s="16"/>
      <c r="LEZ13" s="16"/>
      <c r="LFA13" s="16"/>
      <c r="LFB13" s="16"/>
      <c r="LFC13" s="16"/>
      <c r="LFD13" s="16"/>
      <c r="LFE13" s="16"/>
      <c r="LFF13" s="16"/>
      <c r="LFG13" s="16"/>
      <c r="LFH13" s="16"/>
      <c r="LFI13" s="16"/>
      <c r="LFJ13" s="16"/>
      <c r="LFK13" s="16"/>
      <c r="LFL13" s="16"/>
      <c r="LFM13" s="16"/>
      <c r="LFN13" s="16"/>
      <c r="LFO13" s="16"/>
      <c r="LFP13" s="16"/>
      <c r="LFQ13" s="16"/>
      <c r="LFR13" s="16"/>
      <c r="LFS13" s="16"/>
      <c r="LFT13" s="16"/>
      <c r="LFU13" s="16"/>
      <c r="LFV13" s="16"/>
      <c r="LFW13" s="16"/>
      <c r="LFX13" s="16"/>
      <c r="LFY13" s="16"/>
      <c r="LFZ13" s="16"/>
      <c r="LGA13" s="16"/>
      <c r="LGB13" s="16"/>
      <c r="LGC13" s="16"/>
      <c r="LGD13" s="16"/>
      <c r="LGE13" s="16"/>
      <c r="LGF13" s="16"/>
      <c r="LGG13" s="16"/>
      <c r="LGH13" s="16"/>
      <c r="LGI13" s="16"/>
      <c r="LGJ13" s="16"/>
      <c r="LGK13" s="16"/>
      <c r="LGL13" s="16"/>
      <c r="LGM13" s="16"/>
      <c r="LGN13" s="16"/>
      <c r="LGO13" s="16"/>
      <c r="LGP13" s="16"/>
      <c r="LGQ13" s="16"/>
      <c r="LGR13" s="16"/>
      <c r="LGS13" s="16"/>
      <c r="LGT13" s="16"/>
      <c r="LGU13" s="16"/>
      <c r="LGV13" s="16"/>
      <c r="LGW13" s="16"/>
      <c r="LGX13" s="16"/>
      <c r="LGY13" s="16"/>
      <c r="LGZ13" s="16"/>
      <c r="LHA13" s="16"/>
      <c r="LHB13" s="16"/>
      <c r="LHC13" s="16"/>
      <c r="LHD13" s="16"/>
      <c r="LHE13" s="16"/>
      <c r="LHF13" s="16"/>
      <c r="LHG13" s="16"/>
      <c r="LHH13" s="16"/>
      <c r="LHI13" s="16"/>
      <c r="LHJ13" s="16"/>
      <c r="LHK13" s="16"/>
      <c r="LHL13" s="16"/>
      <c r="LHM13" s="16"/>
      <c r="LHN13" s="16"/>
      <c r="LHO13" s="16"/>
      <c r="LHP13" s="16"/>
      <c r="LHQ13" s="16"/>
      <c r="LHR13" s="16"/>
      <c r="LHS13" s="16"/>
      <c r="LHT13" s="16"/>
      <c r="LHU13" s="16"/>
      <c r="LHV13" s="16"/>
      <c r="LHW13" s="16"/>
      <c r="LHX13" s="16"/>
      <c r="LHY13" s="16"/>
      <c r="LHZ13" s="16"/>
      <c r="LIA13" s="16"/>
      <c r="LIB13" s="16"/>
      <c r="LIC13" s="16"/>
      <c r="LID13" s="16"/>
      <c r="LIE13" s="16"/>
      <c r="LIF13" s="16"/>
      <c r="LIG13" s="16"/>
      <c r="LIH13" s="16"/>
      <c r="LII13" s="16"/>
      <c r="LIJ13" s="16"/>
      <c r="LIK13" s="16"/>
      <c r="LIL13" s="16"/>
      <c r="LIM13" s="16"/>
      <c r="LIN13" s="16"/>
      <c r="LIO13" s="16"/>
      <c r="LIP13" s="16"/>
      <c r="LIQ13" s="16"/>
      <c r="LIR13" s="16"/>
      <c r="LIS13" s="16"/>
      <c r="LIT13" s="16"/>
      <c r="LIU13" s="16"/>
      <c r="LIV13" s="16"/>
      <c r="LIW13" s="16"/>
      <c r="LIX13" s="16"/>
      <c r="LIY13" s="16"/>
      <c r="LIZ13" s="16"/>
      <c r="LJA13" s="16"/>
      <c r="LJB13" s="16"/>
      <c r="LJC13" s="16"/>
      <c r="LJD13" s="16"/>
      <c r="LJE13" s="16"/>
      <c r="LJF13" s="16"/>
      <c r="LJG13" s="16"/>
      <c r="LJH13" s="16"/>
      <c r="LJI13" s="16"/>
      <c r="LJJ13" s="16"/>
      <c r="LJK13" s="16"/>
      <c r="LJL13" s="16"/>
      <c r="LJM13" s="16"/>
      <c r="LJN13" s="16"/>
      <c r="LJO13" s="16"/>
      <c r="LJP13" s="16"/>
      <c r="LJQ13" s="16"/>
      <c r="LJR13" s="16"/>
      <c r="LJS13" s="16"/>
      <c r="LJT13" s="16"/>
      <c r="LJU13" s="16"/>
      <c r="LJV13" s="16"/>
      <c r="LJW13" s="16"/>
      <c r="LJX13" s="16"/>
      <c r="LJY13" s="16"/>
      <c r="LJZ13" s="16"/>
      <c r="LKA13" s="16"/>
      <c r="LKB13" s="16"/>
      <c r="LKC13" s="16"/>
      <c r="LKD13" s="16"/>
      <c r="LKE13" s="16"/>
      <c r="LKF13" s="16"/>
      <c r="LKG13" s="16"/>
      <c r="LKH13" s="16"/>
      <c r="LKI13" s="16"/>
      <c r="LKJ13" s="16"/>
      <c r="LKK13" s="16"/>
      <c r="LKL13" s="16"/>
      <c r="LKM13" s="16"/>
      <c r="LKN13" s="16"/>
      <c r="LKO13" s="16"/>
      <c r="LKP13" s="16"/>
      <c r="LKQ13" s="16"/>
      <c r="LKR13" s="16"/>
      <c r="LKS13" s="16"/>
      <c r="LKT13" s="16"/>
      <c r="LKU13" s="16"/>
      <c r="LKV13" s="16"/>
      <c r="LKW13" s="16"/>
      <c r="LKX13" s="16"/>
      <c r="LKY13" s="16"/>
      <c r="LKZ13" s="16"/>
      <c r="LLA13" s="16"/>
      <c r="LLB13" s="16"/>
      <c r="LLC13" s="16"/>
      <c r="LLD13" s="16"/>
      <c r="LLE13" s="16"/>
      <c r="LLF13" s="16"/>
      <c r="LLG13" s="16"/>
      <c r="LLH13" s="16"/>
      <c r="LLI13" s="16"/>
      <c r="LLJ13" s="16"/>
      <c r="LLK13" s="16"/>
      <c r="LLL13" s="16"/>
      <c r="LLM13" s="16"/>
      <c r="LLN13" s="16"/>
      <c r="LLO13" s="16"/>
      <c r="LLP13" s="16"/>
      <c r="LLQ13" s="16"/>
      <c r="LLR13" s="16"/>
      <c r="LLS13" s="16"/>
      <c r="LLT13" s="16"/>
      <c r="LLU13" s="16"/>
      <c r="LLV13" s="16"/>
      <c r="LLW13" s="16"/>
      <c r="LLX13" s="16"/>
      <c r="LLY13" s="16"/>
      <c r="LLZ13" s="16"/>
      <c r="LMA13" s="16"/>
      <c r="LMB13" s="16"/>
      <c r="LMC13" s="16"/>
      <c r="LMD13" s="16"/>
      <c r="LME13" s="16"/>
      <c r="LMF13" s="16"/>
      <c r="LMG13" s="16"/>
      <c r="LMH13" s="16"/>
      <c r="LMI13" s="16"/>
      <c r="LMJ13" s="16"/>
      <c r="LMK13" s="16"/>
      <c r="LML13" s="16"/>
      <c r="LMM13" s="16"/>
      <c r="LMN13" s="16"/>
      <c r="LMO13" s="16"/>
      <c r="LMP13" s="16"/>
      <c r="LMQ13" s="16"/>
      <c r="LMR13" s="16"/>
      <c r="LMS13" s="16"/>
      <c r="LMT13" s="16"/>
      <c r="LMU13" s="16"/>
      <c r="LMV13" s="16"/>
      <c r="LMW13" s="16"/>
      <c r="LMX13" s="16"/>
      <c r="LMY13" s="16"/>
      <c r="LMZ13" s="16"/>
      <c r="LNA13" s="16"/>
      <c r="LNB13" s="16"/>
      <c r="LNC13" s="16"/>
      <c r="LND13" s="16"/>
      <c r="LNE13" s="16"/>
      <c r="LNF13" s="16"/>
      <c r="LNG13" s="16"/>
      <c r="LNH13" s="16"/>
      <c r="LNI13" s="16"/>
      <c r="LNJ13" s="16"/>
      <c r="LNK13" s="16"/>
      <c r="LNL13" s="16"/>
      <c r="LNM13" s="16"/>
      <c r="LNN13" s="16"/>
      <c r="LNO13" s="16"/>
      <c r="LNP13" s="16"/>
      <c r="LNQ13" s="16"/>
      <c r="LNR13" s="16"/>
      <c r="LNS13" s="16"/>
      <c r="LNT13" s="16"/>
      <c r="LNU13" s="16"/>
      <c r="LNV13" s="16"/>
      <c r="LNW13" s="16"/>
      <c r="LNX13" s="16"/>
      <c r="LNY13" s="16"/>
      <c r="LNZ13" s="16"/>
      <c r="LOA13" s="16"/>
      <c r="LOB13" s="16"/>
      <c r="LOC13" s="16"/>
      <c r="LOD13" s="16"/>
      <c r="LOE13" s="16"/>
      <c r="LOF13" s="16"/>
      <c r="LOG13" s="16"/>
      <c r="LOH13" s="16"/>
      <c r="LOI13" s="16"/>
      <c r="LOJ13" s="16"/>
      <c r="LOK13" s="16"/>
      <c r="LOL13" s="16"/>
      <c r="LOM13" s="16"/>
      <c r="LON13" s="16"/>
      <c r="LOO13" s="16"/>
      <c r="LOP13" s="16"/>
      <c r="LOQ13" s="16"/>
      <c r="LOR13" s="16"/>
      <c r="LOS13" s="16"/>
      <c r="LOT13" s="16"/>
      <c r="LOU13" s="16"/>
      <c r="LOV13" s="16"/>
      <c r="LOW13" s="16"/>
      <c r="LOX13" s="16"/>
      <c r="LOY13" s="16"/>
      <c r="LOZ13" s="16"/>
      <c r="LPA13" s="16"/>
      <c r="LPB13" s="16"/>
      <c r="LPC13" s="16"/>
      <c r="LPD13" s="16"/>
      <c r="LPE13" s="16"/>
      <c r="LPF13" s="16"/>
      <c r="LPG13" s="16"/>
      <c r="LPH13" s="16"/>
      <c r="LPI13" s="16"/>
      <c r="LPJ13" s="16"/>
      <c r="LPK13" s="16"/>
      <c r="LPL13" s="16"/>
      <c r="LPM13" s="16"/>
      <c r="LPN13" s="16"/>
      <c r="LPO13" s="16"/>
      <c r="LPP13" s="16"/>
      <c r="LPQ13" s="16"/>
      <c r="LPR13" s="16"/>
      <c r="LPS13" s="16"/>
      <c r="LPT13" s="16"/>
      <c r="LPU13" s="16"/>
      <c r="LPV13" s="16"/>
      <c r="LPW13" s="16"/>
      <c r="LPX13" s="16"/>
      <c r="LPY13" s="16"/>
      <c r="LPZ13" s="16"/>
      <c r="LQA13" s="16"/>
      <c r="LQB13" s="16"/>
      <c r="LQC13" s="16"/>
      <c r="LQD13" s="16"/>
      <c r="LQE13" s="16"/>
      <c r="LQF13" s="16"/>
      <c r="LQG13" s="16"/>
      <c r="LQH13" s="16"/>
      <c r="LQI13" s="16"/>
      <c r="LQJ13" s="16"/>
      <c r="LQK13" s="16"/>
      <c r="LQL13" s="16"/>
      <c r="LQM13" s="16"/>
      <c r="LQN13" s="16"/>
      <c r="LQO13" s="16"/>
      <c r="LQP13" s="16"/>
      <c r="LQQ13" s="16"/>
      <c r="LQR13" s="16"/>
      <c r="LQS13" s="16"/>
      <c r="LQT13" s="16"/>
      <c r="LQU13" s="16"/>
      <c r="LQV13" s="16"/>
      <c r="LQW13" s="16"/>
      <c r="LQX13" s="16"/>
      <c r="LQY13" s="16"/>
      <c r="LQZ13" s="16"/>
      <c r="LRA13" s="16"/>
      <c r="LRB13" s="16"/>
      <c r="LRC13" s="16"/>
      <c r="LRD13" s="16"/>
      <c r="LRE13" s="16"/>
      <c r="LRF13" s="16"/>
      <c r="LRG13" s="16"/>
      <c r="LRH13" s="16"/>
      <c r="LRI13" s="16"/>
      <c r="LRJ13" s="16"/>
      <c r="LRK13" s="16"/>
      <c r="LRL13" s="16"/>
      <c r="LRM13" s="16"/>
      <c r="LRN13" s="16"/>
      <c r="LRO13" s="16"/>
      <c r="LRP13" s="16"/>
      <c r="LRQ13" s="16"/>
      <c r="LRR13" s="16"/>
      <c r="LRS13" s="16"/>
      <c r="LRT13" s="16"/>
      <c r="LRU13" s="16"/>
      <c r="LRV13" s="16"/>
      <c r="LRW13" s="16"/>
      <c r="LRX13" s="16"/>
      <c r="LRY13" s="16"/>
      <c r="LRZ13" s="16"/>
      <c r="LSA13" s="16"/>
      <c r="LSB13" s="16"/>
      <c r="LSC13" s="16"/>
      <c r="LSD13" s="16"/>
      <c r="LSE13" s="16"/>
      <c r="LSF13" s="16"/>
      <c r="LSG13" s="16"/>
      <c r="LSH13" s="16"/>
      <c r="LSI13" s="16"/>
      <c r="LSJ13" s="16"/>
      <c r="LSK13" s="16"/>
      <c r="LSL13" s="16"/>
      <c r="LSM13" s="16"/>
      <c r="LSN13" s="16"/>
      <c r="LSO13" s="16"/>
      <c r="LSP13" s="16"/>
      <c r="LSQ13" s="16"/>
      <c r="LSR13" s="16"/>
      <c r="LSS13" s="16"/>
      <c r="LST13" s="16"/>
      <c r="LSU13" s="16"/>
      <c r="LSV13" s="16"/>
      <c r="LSW13" s="16"/>
      <c r="LSX13" s="16"/>
      <c r="LSY13" s="16"/>
      <c r="LSZ13" s="16"/>
      <c r="LTA13" s="16"/>
      <c r="LTB13" s="16"/>
      <c r="LTC13" s="16"/>
      <c r="LTD13" s="16"/>
      <c r="LTE13" s="16"/>
      <c r="LTF13" s="16"/>
      <c r="LTG13" s="16"/>
      <c r="LTH13" s="16"/>
      <c r="LTI13" s="16"/>
      <c r="LTJ13" s="16"/>
      <c r="LTK13" s="16"/>
      <c r="LTL13" s="16"/>
      <c r="LTM13" s="16"/>
      <c r="LTN13" s="16"/>
      <c r="LTO13" s="16"/>
      <c r="LTP13" s="16"/>
      <c r="LTQ13" s="16"/>
      <c r="LTR13" s="16"/>
      <c r="LTS13" s="16"/>
      <c r="LTT13" s="16"/>
      <c r="LTU13" s="16"/>
      <c r="LTV13" s="16"/>
      <c r="LTW13" s="16"/>
      <c r="LTX13" s="16"/>
      <c r="LTY13" s="16"/>
      <c r="LTZ13" s="16"/>
      <c r="LUA13" s="16"/>
      <c r="LUB13" s="16"/>
      <c r="LUC13" s="16"/>
      <c r="LUD13" s="16"/>
      <c r="LUE13" s="16"/>
      <c r="LUF13" s="16"/>
      <c r="LUG13" s="16"/>
      <c r="LUH13" s="16"/>
      <c r="LUI13" s="16"/>
      <c r="LUJ13" s="16"/>
      <c r="LUK13" s="16"/>
      <c r="LUL13" s="16"/>
      <c r="LUM13" s="16"/>
      <c r="LUN13" s="16"/>
      <c r="LUO13" s="16"/>
      <c r="LUP13" s="16"/>
      <c r="LUQ13" s="16"/>
      <c r="LUR13" s="16"/>
      <c r="LUS13" s="16"/>
      <c r="LUT13" s="16"/>
      <c r="LUU13" s="16"/>
      <c r="LUV13" s="16"/>
      <c r="LUW13" s="16"/>
      <c r="LUX13" s="16"/>
      <c r="LUY13" s="16"/>
      <c r="LUZ13" s="16"/>
      <c r="LVA13" s="16"/>
      <c r="LVB13" s="16"/>
      <c r="LVC13" s="16"/>
      <c r="LVD13" s="16"/>
      <c r="LVE13" s="16"/>
      <c r="LVF13" s="16"/>
      <c r="LVG13" s="16"/>
      <c r="LVH13" s="16"/>
      <c r="LVI13" s="16"/>
      <c r="LVJ13" s="16"/>
      <c r="LVK13" s="16"/>
      <c r="LVL13" s="16"/>
      <c r="LVM13" s="16"/>
      <c r="LVN13" s="16"/>
      <c r="LVO13" s="16"/>
      <c r="LVP13" s="16"/>
      <c r="LVQ13" s="16"/>
      <c r="LVR13" s="16"/>
      <c r="LVS13" s="16"/>
      <c r="LVT13" s="16"/>
      <c r="LVU13" s="16"/>
      <c r="LVV13" s="16"/>
      <c r="LVW13" s="16"/>
      <c r="LVX13" s="16"/>
      <c r="LVY13" s="16"/>
      <c r="LVZ13" s="16"/>
      <c r="LWA13" s="16"/>
      <c r="LWB13" s="16"/>
      <c r="LWC13" s="16"/>
      <c r="LWD13" s="16"/>
      <c r="LWE13" s="16"/>
      <c r="LWF13" s="16"/>
      <c r="LWG13" s="16"/>
      <c r="LWH13" s="16"/>
      <c r="LWI13" s="16"/>
      <c r="LWJ13" s="16"/>
      <c r="LWK13" s="16"/>
      <c r="LWL13" s="16"/>
      <c r="LWM13" s="16"/>
      <c r="LWN13" s="16"/>
      <c r="LWO13" s="16"/>
      <c r="LWP13" s="16"/>
      <c r="LWQ13" s="16"/>
      <c r="LWR13" s="16"/>
      <c r="LWS13" s="16"/>
      <c r="LWT13" s="16"/>
      <c r="LWU13" s="16"/>
      <c r="LWV13" s="16"/>
      <c r="LWW13" s="16"/>
      <c r="LWX13" s="16"/>
      <c r="LWY13" s="16"/>
      <c r="LWZ13" s="16"/>
      <c r="LXA13" s="16"/>
      <c r="LXB13" s="16"/>
      <c r="LXC13" s="16"/>
      <c r="LXD13" s="16"/>
      <c r="LXE13" s="16"/>
      <c r="LXF13" s="16"/>
      <c r="LXG13" s="16"/>
      <c r="LXH13" s="16"/>
      <c r="LXI13" s="16"/>
      <c r="LXJ13" s="16"/>
      <c r="LXK13" s="16"/>
      <c r="LXL13" s="16"/>
      <c r="LXM13" s="16"/>
      <c r="LXN13" s="16"/>
      <c r="LXO13" s="16"/>
      <c r="LXP13" s="16"/>
      <c r="LXQ13" s="16"/>
      <c r="LXR13" s="16"/>
      <c r="LXS13" s="16"/>
      <c r="LXT13" s="16"/>
      <c r="LXU13" s="16"/>
      <c r="LXV13" s="16"/>
      <c r="LXW13" s="16"/>
      <c r="LXX13" s="16"/>
      <c r="LXY13" s="16"/>
      <c r="LXZ13" s="16"/>
      <c r="LYA13" s="16"/>
      <c r="LYB13" s="16"/>
      <c r="LYC13" s="16"/>
      <c r="LYD13" s="16"/>
      <c r="LYE13" s="16"/>
      <c r="LYF13" s="16"/>
      <c r="LYG13" s="16"/>
      <c r="LYH13" s="16"/>
      <c r="LYI13" s="16"/>
      <c r="LYJ13" s="16"/>
      <c r="LYK13" s="16"/>
      <c r="LYL13" s="16"/>
      <c r="LYM13" s="16"/>
      <c r="LYN13" s="16"/>
      <c r="LYO13" s="16"/>
      <c r="LYP13" s="16"/>
      <c r="LYQ13" s="16"/>
      <c r="LYR13" s="16"/>
      <c r="LYS13" s="16"/>
      <c r="LYT13" s="16"/>
      <c r="LYU13" s="16"/>
      <c r="LYV13" s="16"/>
      <c r="LYW13" s="16"/>
      <c r="LYX13" s="16"/>
      <c r="LYY13" s="16"/>
      <c r="LYZ13" s="16"/>
      <c r="LZA13" s="16"/>
      <c r="LZB13" s="16"/>
      <c r="LZC13" s="16"/>
      <c r="LZD13" s="16"/>
      <c r="LZE13" s="16"/>
      <c r="LZF13" s="16"/>
      <c r="LZG13" s="16"/>
      <c r="LZH13" s="16"/>
      <c r="LZI13" s="16"/>
      <c r="LZJ13" s="16"/>
      <c r="LZK13" s="16"/>
      <c r="LZL13" s="16"/>
      <c r="LZM13" s="16"/>
      <c r="LZN13" s="16"/>
      <c r="LZO13" s="16"/>
      <c r="LZP13" s="16"/>
      <c r="LZQ13" s="16"/>
      <c r="LZR13" s="16"/>
      <c r="LZS13" s="16"/>
      <c r="LZT13" s="16"/>
      <c r="LZU13" s="16"/>
      <c r="LZV13" s="16"/>
      <c r="LZW13" s="16"/>
      <c r="LZX13" s="16"/>
      <c r="LZY13" s="16"/>
      <c r="LZZ13" s="16"/>
      <c r="MAA13" s="16"/>
      <c r="MAB13" s="16"/>
      <c r="MAC13" s="16"/>
      <c r="MAD13" s="16"/>
      <c r="MAE13" s="16"/>
      <c r="MAF13" s="16"/>
      <c r="MAG13" s="16"/>
      <c r="MAH13" s="16"/>
      <c r="MAI13" s="16"/>
      <c r="MAJ13" s="16"/>
      <c r="MAK13" s="16"/>
      <c r="MAL13" s="16"/>
      <c r="MAM13" s="16"/>
      <c r="MAN13" s="16"/>
      <c r="MAO13" s="16"/>
      <c r="MAP13" s="16"/>
      <c r="MAQ13" s="16"/>
      <c r="MAR13" s="16"/>
      <c r="MAS13" s="16"/>
      <c r="MAT13" s="16"/>
      <c r="MAU13" s="16"/>
      <c r="MAV13" s="16"/>
      <c r="MAW13" s="16"/>
      <c r="MAX13" s="16"/>
      <c r="MAY13" s="16"/>
      <c r="MAZ13" s="16"/>
      <c r="MBA13" s="16"/>
      <c r="MBB13" s="16"/>
      <c r="MBC13" s="16"/>
      <c r="MBD13" s="16"/>
      <c r="MBE13" s="16"/>
      <c r="MBF13" s="16"/>
      <c r="MBG13" s="16"/>
      <c r="MBH13" s="16"/>
      <c r="MBI13" s="16"/>
      <c r="MBJ13" s="16"/>
      <c r="MBK13" s="16"/>
      <c r="MBL13" s="16"/>
      <c r="MBM13" s="16"/>
      <c r="MBN13" s="16"/>
      <c r="MBO13" s="16"/>
      <c r="MBP13" s="16"/>
      <c r="MBQ13" s="16"/>
      <c r="MBR13" s="16"/>
      <c r="MBS13" s="16"/>
      <c r="MBT13" s="16"/>
      <c r="MBU13" s="16"/>
      <c r="MBV13" s="16"/>
      <c r="MBW13" s="16"/>
      <c r="MBX13" s="16"/>
      <c r="MBY13" s="16"/>
      <c r="MBZ13" s="16"/>
      <c r="MCA13" s="16"/>
      <c r="MCB13" s="16"/>
      <c r="MCC13" s="16"/>
      <c r="MCD13" s="16"/>
      <c r="MCE13" s="16"/>
      <c r="MCF13" s="16"/>
      <c r="MCG13" s="16"/>
      <c r="MCH13" s="16"/>
      <c r="MCI13" s="16"/>
      <c r="MCJ13" s="16"/>
      <c r="MCK13" s="16"/>
      <c r="MCL13" s="16"/>
      <c r="MCM13" s="16"/>
      <c r="MCN13" s="16"/>
      <c r="MCO13" s="16"/>
      <c r="MCP13" s="16"/>
      <c r="MCQ13" s="16"/>
      <c r="MCR13" s="16"/>
      <c r="MCS13" s="16"/>
      <c r="MCT13" s="16"/>
      <c r="MCU13" s="16"/>
      <c r="MCV13" s="16"/>
      <c r="MCW13" s="16"/>
      <c r="MCX13" s="16"/>
      <c r="MCY13" s="16"/>
      <c r="MCZ13" s="16"/>
      <c r="MDA13" s="16"/>
      <c r="MDB13" s="16"/>
      <c r="MDC13" s="16"/>
      <c r="MDD13" s="16"/>
      <c r="MDE13" s="16"/>
      <c r="MDF13" s="16"/>
      <c r="MDG13" s="16"/>
      <c r="MDH13" s="16"/>
      <c r="MDI13" s="16"/>
      <c r="MDJ13" s="16"/>
      <c r="MDK13" s="16"/>
      <c r="MDL13" s="16"/>
      <c r="MDM13" s="16"/>
      <c r="MDN13" s="16"/>
      <c r="MDO13" s="16"/>
      <c r="MDP13" s="16"/>
      <c r="MDQ13" s="16"/>
      <c r="MDR13" s="16"/>
      <c r="MDS13" s="16"/>
      <c r="MDT13" s="16"/>
      <c r="MDU13" s="16"/>
      <c r="MDV13" s="16"/>
      <c r="MDW13" s="16"/>
      <c r="MDX13" s="16"/>
      <c r="MDY13" s="16"/>
      <c r="MDZ13" s="16"/>
      <c r="MEA13" s="16"/>
      <c r="MEB13" s="16"/>
      <c r="MEC13" s="16"/>
      <c r="MED13" s="16"/>
      <c r="MEE13" s="16"/>
      <c r="MEF13" s="16"/>
      <c r="MEG13" s="16"/>
      <c r="MEH13" s="16"/>
      <c r="MEI13" s="16"/>
      <c r="MEJ13" s="16"/>
      <c r="MEK13" s="16"/>
      <c r="MEL13" s="16"/>
      <c r="MEM13" s="16"/>
      <c r="MEN13" s="16"/>
      <c r="MEO13" s="16"/>
      <c r="MEP13" s="16"/>
      <c r="MEQ13" s="16"/>
      <c r="MER13" s="16"/>
      <c r="MES13" s="16"/>
      <c r="MET13" s="16"/>
      <c r="MEU13" s="16"/>
      <c r="MEV13" s="16"/>
      <c r="MEW13" s="16"/>
      <c r="MEX13" s="16"/>
      <c r="MEY13" s="16"/>
      <c r="MEZ13" s="16"/>
      <c r="MFA13" s="16"/>
      <c r="MFB13" s="16"/>
      <c r="MFC13" s="16"/>
      <c r="MFD13" s="16"/>
      <c r="MFE13" s="16"/>
      <c r="MFF13" s="16"/>
      <c r="MFG13" s="16"/>
      <c r="MFH13" s="16"/>
      <c r="MFI13" s="16"/>
      <c r="MFJ13" s="16"/>
      <c r="MFK13" s="16"/>
      <c r="MFL13" s="16"/>
      <c r="MFM13" s="16"/>
      <c r="MFN13" s="16"/>
      <c r="MFO13" s="16"/>
      <c r="MFP13" s="16"/>
      <c r="MFQ13" s="16"/>
      <c r="MFR13" s="16"/>
      <c r="MFS13" s="16"/>
      <c r="MFT13" s="16"/>
      <c r="MFU13" s="16"/>
      <c r="MFV13" s="16"/>
      <c r="MFW13" s="16"/>
      <c r="MFX13" s="16"/>
      <c r="MFY13" s="16"/>
      <c r="MFZ13" s="16"/>
      <c r="MGA13" s="16"/>
      <c r="MGB13" s="16"/>
      <c r="MGC13" s="16"/>
      <c r="MGD13" s="16"/>
      <c r="MGE13" s="16"/>
      <c r="MGF13" s="16"/>
      <c r="MGG13" s="16"/>
      <c r="MGH13" s="16"/>
      <c r="MGI13" s="16"/>
      <c r="MGJ13" s="16"/>
      <c r="MGK13" s="16"/>
      <c r="MGL13" s="16"/>
      <c r="MGM13" s="16"/>
      <c r="MGN13" s="16"/>
      <c r="MGO13" s="16"/>
      <c r="MGP13" s="16"/>
      <c r="MGQ13" s="16"/>
      <c r="MGR13" s="16"/>
      <c r="MGS13" s="16"/>
      <c r="MGT13" s="16"/>
      <c r="MGU13" s="16"/>
      <c r="MGV13" s="16"/>
      <c r="MGW13" s="16"/>
      <c r="MGX13" s="16"/>
      <c r="MGY13" s="16"/>
      <c r="MGZ13" s="16"/>
      <c r="MHA13" s="16"/>
      <c r="MHB13" s="16"/>
      <c r="MHC13" s="16"/>
      <c r="MHD13" s="16"/>
      <c r="MHE13" s="16"/>
      <c r="MHF13" s="16"/>
      <c r="MHG13" s="16"/>
      <c r="MHH13" s="16"/>
      <c r="MHI13" s="16"/>
      <c r="MHJ13" s="16"/>
      <c r="MHK13" s="16"/>
      <c r="MHL13" s="16"/>
      <c r="MHM13" s="16"/>
      <c r="MHN13" s="16"/>
      <c r="MHO13" s="16"/>
      <c r="MHP13" s="16"/>
      <c r="MHQ13" s="16"/>
      <c r="MHR13" s="16"/>
      <c r="MHS13" s="16"/>
      <c r="MHT13" s="16"/>
      <c r="MHU13" s="16"/>
      <c r="MHV13" s="16"/>
      <c r="MHW13" s="16"/>
      <c r="MHX13" s="16"/>
      <c r="MHY13" s="16"/>
      <c r="MHZ13" s="16"/>
      <c r="MIA13" s="16"/>
      <c r="MIB13" s="16"/>
      <c r="MIC13" s="16"/>
      <c r="MID13" s="16"/>
      <c r="MIE13" s="16"/>
      <c r="MIF13" s="16"/>
      <c r="MIG13" s="16"/>
      <c r="MIH13" s="16"/>
      <c r="MII13" s="16"/>
      <c r="MIJ13" s="16"/>
      <c r="MIK13" s="16"/>
      <c r="MIL13" s="16"/>
      <c r="MIM13" s="16"/>
      <c r="MIN13" s="16"/>
      <c r="MIO13" s="16"/>
      <c r="MIP13" s="16"/>
      <c r="MIQ13" s="16"/>
      <c r="MIR13" s="16"/>
      <c r="MIS13" s="16"/>
      <c r="MIT13" s="16"/>
      <c r="MIU13" s="16"/>
      <c r="MIV13" s="16"/>
      <c r="MIW13" s="16"/>
      <c r="MIX13" s="16"/>
      <c r="MIY13" s="16"/>
      <c r="MIZ13" s="16"/>
      <c r="MJA13" s="16"/>
      <c r="MJB13" s="16"/>
      <c r="MJC13" s="16"/>
      <c r="MJD13" s="16"/>
      <c r="MJE13" s="16"/>
      <c r="MJF13" s="16"/>
      <c r="MJG13" s="16"/>
      <c r="MJH13" s="16"/>
      <c r="MJI13" s="16"/>
      <c r="MJJ13" s="16"/>
      <c r="MJK13" s="16"/>
      <c r="MJL13" s="16"/>
      <c r="MJM13" s="16"/>
      <c r="MJN13" s="16"/>
      <c r="MJO13" s="16"/>
      <c r="MJP13" s="16"/>
      <c r="MJQ13" s="16"/>
      <c r="MJR13" s="16"/>
      <c r="MJS13" s="16"/>
      <c r="MJT13" s="16"/>
      <c r="MJU13" s="16"/>
      <c r="MJV13" s="16"/>
      <c r="MJW13" s="16"/>
      <c r="MJX13" s="16"/>
      <c r="MJY13" s="16"/>
      <c r="MJZ13" s="16"/>
      <c r="MKA13" s="16"/>
      <c r="MKB13" s="16"/>
      <c r="MKC13" s="16"/>
      <c r="MKD13" s="16"/>
      <c r="MKE13" s="16"/>
      <c r="MKF13" s="16"/>
      <c r="MKG13" s="16"/>
      <c r="MKH13" s="16"/>
      <c r="MKI13" s="16"/>
      <c r="MKJ13" s="16"/>
      <c r="MKK13" s="16"/>
      <c r="MKL13" s="16"/>
      <c r="MKM13" s="16"/>
      <c r="MKN13" s="16"/>
      <c r="MKO13" s="16"/>
      <c r="MKP13" s="16"/>
      <c r="MKQ13" s="16"/>
      <c r="MKR13" s="16"/>
      <c r="MKS13" s="16"/>
      <c r="MKT13" s="16"/>
      <c r="MKU13" s="16"/>
      <c r="MKV13" s="16"/>
      <c r="MKW13" s="16"/>
      <c r="MKX13" s="16"/>
      <c r="MKY13" s="16"/>
      <c r="MKZ13" s="16"/>
      <c r="MLA13" s="16"/>
      <c r="MLB13" s="16"/>
      <c r="MLC13" s="16"/>
      <c r="MLD13" s="16"/>
      <c r="MLE13" s="16"/>
      <c r="MLF13" s="16"/>
      <c r="MLG13" s="16"/>
      <c r="MLH13" s="16"/>
      <c r="MLI13" s="16"/>
      <c r="MLJ13" s="16"/>
      <c r="MLK13" s="16"/>
      <c r="MLL13" s="16"/>
      <c r="MLM13" s="16"/>
      <c r="MLN13" s="16"/>
      <c r="MLO13" s="16"/>
      <c r="MLP13" s="16"/>
      <c r="MLQ13" s="16"/>
      <c r="MLR13" s="16"/>
      <c r="MLS13" s="16"/>
      <c r="MLT13" s="16"/>
      <c r="MLU13" s="16"/>
      <c r="MLV13" s="16"/>
      <c r="MLW13" s="16"/>
      <c r="MLX13" s="16"/>
      <c r="MLY13" s="16"/>
      <c r="MLZ13" s="16"/>
      <c r="MMA13" s="16"/>
      <c r="MMB13" s="16"/>
      <c r="MMC13" s="16"/>
      <c r="MMD13" s="16"/>
      <c r="MME13" s="16"/>
      <c r="MMF13" s="16"/>
      <c r="MMG13" s="16"/>
      <c r="MMH13" s="16"/>
      <c r="MMI13" s="16"/>
      <c r="MMJ13" s="16"/>
      <c r="MMK13" s="16"/>
      <c r="MML13" s="16"/>
      <c r="MMM13" s="16"/>
      <c r="MMN13" s="16"/>
      <c r="MMO13" s="16"/>
      <c r="MMP13" s="16"/>
      <c r="MMQ13" s="16"/>
      <c r="MMR13" s="16"/>
      <c r="MMS13" s="16"/>
      <c r="MMT13" s="16"/>
      <c r="MMU13" s="16"/>
      <c r="MMV13" s="16"/>
      <c r="MMW13" s="16"/>
      <c r="MMX13" s="16"/>
      <c r="MMY13" s="16"/>
      <c r="MMZ13" s="16"/>
      <c r="MNA13" s="16"/>
      <c r="MNB13" s="16"/>
      <c r="MNC13" s="16"/>
      <c r="MND13" s="16"/>
      <c r="MNE13" s="16"/>
      <c r="MNF13" s="16"/>
      <c r="MNG13" s="16"/>
      <c r="MNH13" s="16"/>
      <c r="MNI13" s="16"/>
      <c r="MNJ13" s="16"/>
      <c r="MNK13" s="16"/>
      <c r="MNL13" s="16"/>
      <c r="MNM13" s="16"/>
      <c r="MNN13" s="16"/>
      <c r="MNO13" s="16"/>
      <c r="MNP13" s="16"/>
      <c r="MNQ13" s="16"/>
      <c r="MNR13" s="16"/>
      <c r="MNS13" s="16"/>
      <c r="MNT13" s="16"/>
      <c r="MNU13" s="16"/>
      <c r="MNV13" s="16"/>
      <c r="MNW13" s="16"/>
      <c r="MNX13" s="16"/>
      <c r="MNY13" s="16"/>
      <c r="MNZ13" s="16"/>
      <c r="MOA13" s="16"/>
      <c r="MOB13" s="16"/>
      <c r="MOC13" s="16"/>
      <c r="MOD13" s="16"/>
      <c r="MOE13" s="16"/>
      <c r="MOF13" s="16"/>
      <c r="MOG13" s="16"/>
      <c r="MOH13" s="16"/>
      <c r="MOI13" s="16"/>
      <c r="MOJ13" s="16"/>
      <c r="MOK13" s="16"/>
      <c r="MOL13" s="16"/>
      <c r="MOM13" s="16"/>
      <c r="MON13" s="16"/>
      <c r="MOO13" s="16"/>
      <c r="MOP13" s="16"/>
      <c r="MOQ13" s="16"/>
      <c r="MOR13" s="16"/>
      <c r="MOS13" s="16"/>
      <c r="MOT13" s="16"/>
      <c r="MOU13" s="16"/>
      <c r="MOV13" s="16"/>
      <c r="MOW13" s="16"/>
      <c r="MOX13" s="16"/>
      <c r="MOY13" s="16"/>
      <c r="MOZ13" s="16"/>
      <c r="MPA13" s="16"/>
      <c r="MPB13" s="16"/>
      <c r="MPC13" s="16"/>
      <c r="MPD13" s="16"/>
      <c r="MPE13" s="16"/>
      <c r="MPF13" s="16"/>
      <c r="MPG13" s="16"/>
      <c r="MPH13" s="16"/>
      <c r="MPI13" s="16"/>
      <c r="MPJ13" s="16"/>
      <c r="MPK13" s="16"/>
      <c r="MPL13" s="16"/>
      <c r="MPM13" s="16"/>
      <c r="MPN13" s="16"/>
      <c r="MPO13" s="16"/>
      <c r="MPP13" s="16"/>
      <c r="MPQ13" s="16"/>
      <c r="MPR13" s="16"/>
      <c r="MPS13" s="16"/>
      <c r="MPT13" s="16"/>
      <c r="MPU13" s="16"/>
      <c r="MPV13" s="16"/>
      <c r="MPW13" s="16"/>
      <c r="MPX13" s="16"/>
      <c r="MPY13" s="16"/>
      <c r="MPZ13" s="16"/>
      <c r="MQA13" s="16"/>
      <c r="MQB13" s="16"/>
      <c r="MQC13" s="16"/>
      <c r="MQD13" s="16"/>
      <c r="MQE13" s="16"/>
      <c r="MQF13" s="16"/>
      <c r="MQG13" s="16"/>
      <c r="MQH13" s="16"/>
      <c r="MQI13" s="16"/>
      <c r="MQJ13" s="16"/>
      <c r="MQK13" s="16"/>
      <c r="MQL13" s="16"/>
      <c r="MQM13" s="16"/>
      <c r="MQN13" s="16"/>
      <c r="MQO13" s="16"/>
      <c r="MQP13" s="16"/>
      <c r="MQQ13" s="16"/>
      <c r="MQR13" s="16"/>
      <c r="MQS13" s="16"/>
      <c r="MQT13" s="16"/>
      <c r="MQU13" s="16"/>
      <c r="MQV13" s="16"/>
      <c r="MQW13" s="16"/>
      <c r="MQX13" s="16"/>
      <c r="MQY13" s="16"/>
      <c r="MQZ13" s="16"/>
      <c r="MRA13" s="16"/>
      <c r="MRB13" s="16"/>
      <c r="MRC13" s="16"/>
      <c r="MRD13" s="16"/>
      <c r="MRE13" s="16"/>
      <c r="MRF13" s="16"/>
      <c r="MRG13" s="16"/>
      <c r="MRH13" s="16"/>
      <c r="MRI13" s="16"/>
      <c r="MRJ13" s="16"/>
      <c r="MRK13" s="16"/>
      <c r="MRL13" s="16"/>
      <c r="MRM13" s="16"/>
      <c r="MRN13" s="16"/>
      <c r="MRO13" s="16"/>
      <c r="MRP13" s="16"/>
      <c r="MRQ13" s="16"/>
      <c r="MRR13" s="16"/>
      <c r="MRS13" s="16"/>
      <c r="MRT13" s="16"/>
      <c r="MRU13" s="16"/>
      <c r="MRV13" s="16"/>
      <c r="MRW13" s="16"/>
      <c r="MRX13" s="16"/>
      <c r="MRY13" s="16"/>
      <c r="MRZ13" s="16"/>
      <c r="MSA13" s="16"/>
      <c r="MSB13" s="16"/>
      <c r="MSC13" s="16"/>
      <c r="MSD13" s="16"/>
      <c r="MSE13" s="16"/>
      <c r="MSF13" s="16"/>
      <c r="MSG13" s="16"/>
      <c r="MSH13" s="16"/>
      <c r="MSI13" s="16"/>
      <c r="MSJ13" s="16"/>
      <c r="MSK13" s="16"/>
      <c r="MSL13" s="16"/>
      <c r="MSM13" s="16"/>
      <c r="MSN13" s="16"/>
      <c r="MSO13" s="16"/>
      <c r="MSP13" s="16"/>
      <c r="MSQ13" s="16"/>
      <c r="MSR13" s="16"/>
      <c r="MSS13" s="16"/>
      <c r="MST13" s="16"/>
      <c r="MSU13" s="16"/>
      <c r="MSV13" s="16"/>
      <c r="MSW13" s="16"/>
      <c r="MSX13" s="16"/>
      <c r="MSY13" s="16"/>
      <c r="MSZ13" s="16"/>
      <c r="MTA13" s="16"/>
      <c r="MTB13" s="16"/>
      <c r="MTC13" s="16"/>
      <c r="MTD13" s="16"/>
      <c r="MTE13" s="16"/>
      <c r="MTF13" s="16"/>
      <c r="MTG13" s="16"/>
      <c r="MTH13" s="16"/>
      <c r="MTI13" s="16"/>
      <c r="MTJ13" s="16"/>
      <c r="MTK13" s="16"/>
      <c r="MTL13" s="16"/>
      <c r="MTM13" s="16"/>
      <c r="MTN13" s="16"/>
      <c r="MTO13" s="16"/>
      <c r="MTP13" s="16"/>
      <c r="MTQ13" s="16"/>
      <c r="MTR13" s="16"/>
      <c r="MTS13" s="16"/>
      <c r="MTT13" s="16"/>
      <c r="MTU13" s="16"/>
      <c r="MTV13" s="16"/>
      <c r="MTW13" s="16"/>
      <c r="MTX13" s="16"/>
      <c r="MTY13" s="16"/>
      <c r="MTZ13" s="16"/>
      <c r="MUA13" s="16"/>
      <c r="MUB13" s="16"/>
      <c r="MUC13" s="16"/>
      <c r="MUD13" s="16"/>
      <c r="MUE13" s="16"/>
      <c r="MUF13" s="16"/>
      <c r="MUG13" s="16"/>
      <c r="MUH13" s="16"/>
      <c r="MUI13" s="16"/>
      <c r="MUJ13" s="16"/>
      <c r="MUK13" s="16"/>
      <c r="MUL13" s="16"/>
      <c r="MUM13" s="16"/>
      <c r="MUN13" s="16"/>
      <c r="MUO13" s="16"/>
      <c r="MUP13" s="16"/>
      <c r="MUQ13" s="16"/>
      <c r="MUR13" s="16"/>
      <c r="MUS13" s="16"/>
      <c r="MUT13" s="16"/>
      <c r="MUU13" s="16"/>
      <c r="MUV13" s="16"/>
      <c r="MUW13" s="16"/>
      <c r="MUX13" s="16"/>
      <c r="MUY13" s="16"/>
      <c r="MUZ13" s="16"/>
      <c r="MVA13" s="16"/>
      <c r="MVB13" s="16"/>
      <c r="MVC13" s="16"/>
      <c r="MVD13" s="16"/>
      <c r="MVE13" s="16"/>
      <c r="MVF13" s="16"/>
      <c r="MVG13" s="16"/>
      <c r="MVH13" s="16"/>
      <c r="MVI13" s="16"/>
      <c r="MVJ13" s="16"/>
      <c r="MVK13" s="16"/>
      <c r="MVL13" s="16"/>
      <c r="MVM13" s="16"/>
      <c r="MVN13" s="16"/>
      <c r="MVO13" s="16"/>
      <c r="MVP13" s="16"/>
      <c r="MVQ13" s="16"/>
      <c r="MVR13" s="16"/>
      <c r="MVS13" s="16"/>
      <c r="MVT13" s="16"/>
      <c r="MVU13" s="16"/>
      <c r="MVV13" s="16"/>
      <c r="MVW13" s="16"/>
      <c r="MVX13" s="16"/>
      <c r="MVY13" s="16"/>
      <c r="MVZ13" s="16"/>
      <c r="MWA13" s="16"/>
      <c r="MWB13" s="16"/>
      <c r="MWC13" s="16"/>
      <c r="MWD13" s="16"/>
      <c r="MWE13" s="16"/>
      <c r="MWF13" s="16"/>
      <c r="MWG13" s="16"/>
      <c r="MWH13" s="16"/>
      <c r="MWI13" s="16"/>
      <c r="MWJ13" s="16"/>
      <c r="MWK13" s="16"/>
      <c r="MWL13" s="16"/>
      <c r="MWM13" s="16"/>
      <c r="MWN13" s="16"/>
      <c r="MWO13" s="16"/>
      <c r="MWP13" s="16"/>
      <c r="MWQ13" s="16"/>
      <c r="MWR13" s="16"/>
      <c r="MWS13" s="16"/>
      <c r="MWT13" s="16"/>
      <c r="MWU13" s="16"/>
      <c r="MWV13" s="16"/>
      <c r="MWW13" s="16"/>
      <c r="MWX13" s="16"/>
      <c r="MWY13" s="16"/>
      <c r="MWZ13" s="16"/>
      <c r="MXA13" s="16"/>
      <c r="MXB13" s="16"/>
      <c r="MXC13" s="16"/>
      <c r="MXD13" s="16"/>
      <c r="MXE13" s="16"/>
      <c r="MXF13" s="16"/>
      <c r="MXG13" s="16"/>
      <c r="MXH13" s="16"/>
      <c r="MXI13" s="16"/>
      <c r="MXJ13" s="16"/>
      <c r="MXK13" s="16"/>
      <c r="MXL13" s="16"/>
      <c r="MXM13" s="16"/>
      <c r="MXN13" s="16"/>
      <c r="MXO13" s="16"/>
      <c r="MXP13" s="16"/>
      <c r="MXQ13" s="16"/>
      <c r="MXR13" s="16"/>
      <c r="MXS13" s="16"/>
      <c r="MXT13" s="16"/>
      <c r="MXU13" s="16"/>
      <c r="MXV13" s="16"/>
      <c r="MXW13" s="16"/>
      <c r="MXX13" s="16"/>
      <c r="MXY13" s="16"/>
      <c r="MXZ13" s="16"/>
      <c r="MYA13" s="16"/>
      <c r="MYB13" s="16"/>
      <c r="MYC13" s="16"/>
      <c r="MYD13" s="16"/>
      <c r="MYE13" s="16"/>
      <c r="MYF13" s="16"/>
      <c r="MYG13" s="16"/>
      <c r="MYH13" s="16"/>
      <c r="MYI13" s="16"/>
      <c r="MYJ13" s="16"/>
      <c r="MYK13" s="16"/>
      <c r="MYL13" s="16"/>
      <c r="MYM13" s="16"/>
      <c r="MYN13" s="16"/>
      <c r="MYO13" s="16"/>
      <c r="MYP13" s="16"/>
      <c r="MYQ13" s="16"/>
      <c r="MYR13" s="16"/>
      <c r="MYS13" s="16"/>
      <c r="MYT13" s="16"/>
      <c r="MYU13" s="16"/>
      <c r="MYV13" s="16"/>
      <c r="MYW13" s="16"/>
      <c r="MYX13" s="16"/>
      <c r="MYY13" s="16"/>
      <c r="MYZ13" s="16"/>
      <c r="MZA13" s="16"/>
      <c r="MZB13" s="16"/>
      <c r="MZC13" s="16"/>
      <c r="MZD13" s="16"/>
      <c r="MZE13" s="16"/>
      <c r="MZF13" s="16"/>
      <c r="MZG13" s="16"/>
      <c r="MZH13" s="16"/>
      <c r="MZI13" s="16"/>
      <c r="MZJ13" s="16"/>
      <c r="MZK13" s="16"/>
      <c r="MZL13" s="16"/>
      <c r="MZM13" s="16"/>
      <c r="MZN13" s="16"/>
      <c r="MZO13" s="16"/>
      <c r="MZP13" s="16"/>
      <c r="MZQ13" s="16"/>
      <c r="MZR13" s="16"/>
      <c r="MZS13" s="16"/>
      <c r="MZT13" s="16"/>
      <c r="MZU13" s="16"/>
      <c r="MZV13" s="16"/>
      <c r="MZW13" s="16"/>
      <c r="MZX13" s="16"/>
      <c r="MZY13" s="16"/>
      <c r="MZZ13" s="16"/>
      <c r="NAA13" s="16"/>
      <c r="NAB13" s="16"/>
      <c r="NAC13" s="16"/>
      <c r="NAD13" s="16"/>
      <c r="NAE13" s="16"/>
      <c r="NAF13" s="16"/>
      <c r="NAG13" s="16"/>
      <c r="NAH13" s="16"/>
      <c r="NAI13" s="16"/>
      <c r="NAJ13" s="16"/>
      <c r="NAK13" s="16"/>
      <c r="NAL13" s="16"/>
      <c r="NAM13" s="16"/>
      <c r="NAN13" s="16"/>
      <c r="NAO13" s="16"/>
      <c r="NAP13" s="16"/>
      <c r="NAQ13" s="16"/>
      <c r="NAR13" s="16"/>
      <c r="NAS13" s="16"/>
      <c r="NAT13" s="16"/>
      <c r="NAU13" s="16"/>
      <c r="NAV13" s="16"/>
      <c r="NAW13" s="16"/>
      <c r="NAX13" s="16"/>
      <c r="NAY13" s="16"/>
      <c r="NAZ13" s="16"/>
      <c r="NBA13" s="16"/>
      <c r="NBB13" s="16"/>
      <c r="NBC13" s="16"/>
      <c r="NBD13" s="16"/>
      <c r="NBE13" s="16"/>
      <c r="NBF13" s="16"/>
      <c r="NBG13" s="16"/>
      <c r="NBH13" s="16"/>
      <c r="NBI13" s="16"/>
      <c r="NBJ13" s="16"/>
      <c r="NBK13" s="16"/>
      <c r="NBL13" s="16"/>
      <c r="NBM13" s="16"/>
      <c r="NBN13" s="16"/>
      <c r="NBO13" s="16"/>
      <c r="NBP13" s="16"/>
      <c r="NBQ13" s="16"/>
      <c r="NBR13" s="16"/>
      <c r="NBS13" s="16"/>
      <c r="NBT13" s="16"/>
      <c r="NBU13" s="16"/>
      <c r="NBV13" s="16"/>
      <c r="NBW13" s="16"/>
      <c r="NBX13" s="16"/>
      <c r="NBY13" s="16"/>
      <c r="NBZ13" s="16"/>
      <c r="NCA13" s="16"/>
      <c r="NCB13" s="16"/>
      <c r="NCC13" s="16"/>
      <c r="NCD13" s="16"/>
      <c r="NCE13" s="16"/>
      <c r="NCF13" s="16"/>
      <c r="NCG13" s="16"/>
      <c r="NCH13" s="16"/>
      <c r="NCI13" s="16"/>
      <c r="NCJ13" s="16"/>
      <c r="NCK13" s="16"/>
      <c r="NCL13" s="16"/>
      <c r="NCM13" s="16"/>
      <c r="NCN13" s="16"/>
      <c r="NCO13" s="16"/>
      <c r="NCP13" s="16"/>
      <c r="NCQ13" s="16"/>
      <c r="NCR13" s="16"/>
      <c r="NCS13" s="16"/>
      <c r="NCT13" s="16"/>
      <c r="NCU13" s="16"/>
      <c r="NCV13" s="16"/>
      <c r="NCW13" s="16"/>
      <c r="NCX13" s="16"/>
      <c r="NCY13" s="16"/>
      <c r="NCZ13" s="16"/>
      <c r="NDA13" s="16"/>
      <c r="NDB13" s="16"/>
      <c r="NDC13" s="16"/>
      <c r="NDD13" s="16"/>
      <c r="NDE13" s="16"/>
      <c r="NDF13" s="16"/>
      <c r="NDG13" s="16"/>
      <c r="NDH13" s="16"/>
      <c r="NDI13" s="16"/>
      <c r="NDJ13" s="16"/>
      <c r="NDK13" s="16"/>
      <c r="NDL13" s="16"/>
      <c r="NDM13" s="16"/>
      <c r="NDN13" s="16"/>
      <c r="NDO13" s="16"/>
      <c r="NDP13" s="16"/>
      <c r="NDQ13" s="16"/>
      <c r="NDR13" s="16"/>
      <c r="NDS13" s="16"/>
      <c r="NDT13" s="16"/>
      <c r="NDU13" s="16"/>
      <c r="NDV13" s="16"/>
      <c r="NDW13" s="16"/>
      <c r="NDX13" s="16"/>
      <c r="NDY13" s="16"/>
      <c r="NDZ13" s="16"/>
      <c r="NEA13" s="16"/>
      <c r="NEB13" s="16"/>
      <c r="NEC13" s="16"/>
      <c r="NED13" s="16"/>
      <c r="NEE13" s="16"/>
      <c r="NEF13" s="16"/>
      <c r="NEG13" s="16"/>
      <c r="NEH13" s="16"/>
      <c r="NEI13" s="16"/>
      <c r="NEJ13" s="16"/>
      <c r="NEK13" s="16"/>
      <c r="NEL13" s="16"/>
      <c r="NEM13" s="16"/>
      <c r="NEN13" s="16"/>
      <c r="NEO13" s="16"/>
      <c r="NEP13" s="16"/>
      <c r="NEQ13" s="16"/>
      <c r="NER13" s="16"/>
      <c r="NES13" s="16"/>
      <c r="NET13" s="16"/>
      <c r="NEU13" s="16"/>
      <c r="NEV13" s="16"/>
      <c r="NEW13" s="16"/>
      <c r="NEX13" s="16"/>
      <c r="NEY13" s="16"/>
      <c r="NEZ13" s="16"/>
      <c r="NFA13" s="16"/>
      <c r="NFB13" s="16"/>
      <c r="NFC13" s="16"/>
      <c r="NFD13" s="16"/>
      <c r="NFE13" s="16"/>
      <c r="NFF13" s="16"/>
      <c r="NFG13" s="16"/>
      <c r="NFH13" s="16"/>
      <c r="NFI13" s="16"/>
      <c r="NFJ13" s="16"/>
      <c r="NFK13" s="16"/>
      <c r="NFL13" s="16"/>
      <c r="NFM13" s="16"/>
      <c r="NFN13" s="16"/>
      <c r="NFO13" s="16"/>
      <c r="NFP13" s="16"/>
      <c r="NFQ13" s="16"/>
      <c r="NFR13" s="16"/>
      <c r="NFS13" s="16"/>
      <c r="NFT13" s="16"/>
      <c r="NFU13" s="16"/>
      <c r="NFV13" s="16"/>
      <c r="NFW13" s="16"/>
      <c r="NFX13" s="16"/>
      <c r="NFY13" s="16"/>
      <c r="NFZ13" s="16"/>
      <c r="NGA13" s="16"/>
      <c r="NGB13" s="16"/>
      <c r="NGC13" s="16"/>
      <c r="NGD13" s="16"/>
      <c r="NGE13" s="16"/>
      <c r="NGF13" s="16"/>
      <c r="NGG13" s="16"/>
      <c r="NGH13" s="16"/>
      <c r="NGI13" s="16"/>
      <c r="NGJ13" s="16"/>
      <c r="NGK13" s="16"/>
      <c r="NGL13" s="16"/>
      <c r="NGM13" s="16"/>
      <c r="NGN13" s="16"/>
      <c r="NGO13" s="16"/>
      <c r="NGP13" s="16"/>
      <c r="NGQ13" s="16"/>
      <c r="NGR13" s="16"/>
      <c r="NGS13" s="16"/>
      <c r="NGT13" s="16"/>
      <c r="NGU13" s="16"/>
      <c r="NGV13" s="16"/>
      <c r="NGW13" s="16"/>
      <c r="NGX13" s="16"/>
      <c r="NGY13" s="16"/>
      <c r="NGZ13" s="16"/>
      <c r="NHA13" s="16"/>
      <c r="NHB13" s="16"/>
      <c r="NHC13" s="16"/>
      <c r="NHD13" s="16"/>
      <c r="NHE13" s="16"/>
      <c r="NHF13" s="16"/>
      <c r="NHG13" s="16"/>
      <c r="NHH13" s="16"/>
      <c r="NHI13" s="16"/>
      <c r="NHJ13" s="16"/>
      <c r="NHK13" s="16"/>
      <c r="NHL13" s="16"/>
      <c r="NHM13" s="16"/>
      <c r="NHN13" s="16"/>
      <c r="NHO13" s="16"/>
      <c r="NHP13" s="16"/>
      <c r="NHQ13" s="16"/>
      <c r="NHR13" s="16"/>
      <c r="NHS13" s="16"/>
      <c r="NHT13" s="16"/>
      <c r="NHU13" s="16"/>
      <c r="NHV13" s="16"/>
      <c r="NHW13" s="16"/>
      <c r="NHX13" s="16"/>
      <c r="NHY13" s="16"/>
      <c r="NHZ13" s="16"/>
      <c r="NIA13" s="16"/>
      <c r="NIB13" s="16"/>
      <c r="NIC13" s="16"/>
      <c r="NID13" s="16"/>
      <c r="NIE13" s="16"/>
      <c r="NIF13" s="16"/>
      <c r="NIG13" s="16"/>
      <c r="NIH13" s="16"/>
      <c r="NII13" s="16"/>
      <c r="NIJ13" s="16"/>
      <c r="NIK13" s="16"/>
      <c r="NIL13" s="16"/>
      <c r="NIM13" s="16"/>
      <c r="NIN13" s="16"/>
      <c r="NIO13" s="16"/>
      <c r="NIP13" s="16"/>
      <c r="NIQ13" s="16"/>
      <c r="NIR13" s="16"/>
      <c r="NIS13" s="16"/>
      <c r="NIT13" s="16"/>
      <c r="NIU13" s="16"/>
      <c r="NIV13" s="16"/>
      <c r="NIW13" s="16"/>
      <c r="NIX13" s="16"/>
      <c r="NIY13" s="16"/>
      <c r="NIZ13" s="16"/>
      <c r="NJA13" s="16"/>
      <c r="NJB13" s="16"/>
      <c r="NJC13" s="16"/>
      <c r="NJD13" s="16"/>
      <c r="NJE13" s="16"/>
      <c r="NJF13" s="16"/>
      <c r="NJG13" s="16"/>
      <c r="NJH13" s="16"/>
      <c r="NJI13" s="16"/>
      <c r="NJJ13" s="16"/>
      <c r="NJK13" s="16"/>
      <c r="NJL13" s="16"/>
      <c r="NJM13" s="16"/>
      <c r="NJN13" s="16"/>
      <c r="NJO13" s="16"/>
      <c r="NJP13" s="16"/>
      <c r="NJQ13" s="16"/>
      <c r="NJR13" s="16"/>
      <c r="NJS13" s="16"/>
      <c r="NJT13" s="16"/>
      <c r="NJU13" s="16"/>
      <c r="NJV13" s="16"/>
      <c r="NJW13" s="16"/>
      <c r="NJX13" s="16"/>
      <c r="NJY13" s="16"/>
      <c r="NJZ13" s="16"/>
      <c r="NKA13" s="16"/>
      <c r="NKB13" s="16"/>
      <c r="NKC13" s="16"/>
      <c r="NKD13" s="16"/>
      <c r="NKE13" s="16"/>
      <c r="NKF13" s="16"/>
      <c r="NKG13" s="16"/>
      <c r="NKH13" s="16"/>
      <c r="NKI13" s="16"/>
      <c r="NKJ13" s="16"/>
      <c r="NKK13" s="16"/>
      <c r="NKL13" s="16"/>
      <c r="NKM13" s="16"/>
      <c r="NKN13" s="16"/>
      <c r="NKO13" s="16"/>
      <c r="NKP13" s="16"/>
      <c r="NKQ13" s="16"/>
      <c r="NKR13" s="16"/>
      <c r="NKS13" s="16"/>
      <c r="NKT13" s="16"/>
      <c r="NKU13" s="16"/>
      <c r="NKV13" s="16"/>
      <c r="NKW13" s="16"/>
      <c r="NKX13" s="16"/>
      <c r="NKY13" s="16"/>
      <c r="NKZ13" s="16"/>
      <c r="NLA13" s="16"/>
      <c r="NLB13" s="16"/>
      <c r="NLC13" s="16"/>
      <c r="NLD13" s="16"/>
      <c r="NLE13" s="16"/>
      <c r="NLF13" s="16"/>
      <c r="NLG13" s="16"/>
      <c r="NLH13" s="16"/>
      <c r="NLI13" s="16"/>
      <c r="NLJ13" s="16"/>
      <c r="NLK13" s="16"/>
      <c r="NLL13" s="16"/>
      <c r="NLM13" s="16"/>
      <c r="NLN13" s="16"/>
      <c r="NLO13" s="16"/>
      <c r="NLP13" s="16"/>
      <c r="NLQ13" s="16"/>
      <c r="NLR13" s="16"/>
      <c r="NLS13" s="16"/>
      <c r="NLT13" s="16"/>
      <c r="NLU13" s="16"/>
      <c r="NLV13" s="16"/>
      <c r="NLW13" s="16"/>
      <c r="NLX13" s="16"/>
      <c r="NLY13" s="16"/>
      <c r="NLZ13" s="16"/>
      <c r="NMA13" s="16"/>
      <c r="NMB13" s="16"/>
      <c r="NMC13" s="16"/>
      <c r="NMD13" s="16"/>
      <c r="NME13" s="16"/>
      <c r="NMF13" s="16"/>
      <c r="NMG13" s="16"/>
      <c r="NMH13" s="16"/>
      <c r="NMI13" s="16"/>
      <c r="NMJ13" s="16"/>
      <c r="NMK13" s="16"/>
      <c r="NML13" s="16"/>
      <c r="NMM13" s="16"/>
      <c r="NMN13" s="16"/>
      <c r="NMO13" s="16"/>
      <c r="NMP13" s="16"/>
      <c r="NMQ13" s="16"/>
      <c r="NMR13" s="16"/>
      <c r="NMS13" s="16"/>
      <c r="NMT13" s="16"/>
      <c r="NMU13" s="16"/>
      <c r="NMV13" s="16"/>
      <c r="NMW13" s="16"/>
      <c r="NMX13" s="16"/>
      <c r="NMY13" s="16"/>
      <c r="NMZ13" s="16"/>
      <c r="NNA13" s="16"/>
      <c r="NNB13" s="16"/>
      <c r="NNC13" s="16"/>
      <c r="NND13" s="16"/>
      <c r="NNE13" s="16"/>
      <c r="NNF13" s="16"/>
      <c r="NNG13" s="16"/>
      <c r="NNH13" s="16"/>
      <c r="NNI13" s="16"/>
      <c r="NNJ13" s="16"/>
      <c r="NNK13" s="16"/>
      <c r="NNL13" s="16"/>
      <c r="NNM13" s="16"/>
      <c r="NNN13" s="16"/>
      <c r="NNO13" s="16"/>
      <c r="NNP13" s="16"/>
      <c r="NNQ13" s="16"/>
      <c r="NNR13" s="16"/>
      <c r="NNS13" s="16"/>
      <c r="NNT13" s="16"/>
      <c r="NNU13" s="16"/>
      <c r="NNV13" s="16"/>
      <c r="NNW13" s="16"/>
      <c r="NNX13" s="16"/>
      <c r="NNY13" s="16"/>
      <c r="NNZ13" s="16"/>
      <c r="NOA13" s="16"/>
      <c r="NOB13" s="16"/>
      <c r="NOC13" s="16"/>
      <c r="NOD13" s="16"/>
      <c r="NOE13" s="16"/>
      <c r="NOF13" s="16"/>
      <c r="NOG13" s="16"/>
      <c r="NOH13" s="16"/>
      <c r="NOI13" s="16"/>
      <c r="NOJ13" s="16"/>
      <c r="NOK13" s="16"/>
      <c r="NOL13" s="16"/>
      <c r="NOM13" s="16"/>
      <c r="NON13" s="16"/>
      <c r="NOO13" s="16"/>
      <c r="NOP13" s="16"/>
      <c r="NOQ13" s="16"/>
      <c r="NOR13" s="16"/>
      <c r="NOS13" s="16"/>
      <c r="NOT13" s="16"/>
      <c r="NOU13" s="16"/>
      <c r="NOV13" s="16"/>
      <c r="NOW13" s="16"/>
      <c r="NOX13" s="16"/>
      <c r="NOY13" s="16"/>
      <c r="NOZ13" s="16"/>
      <c r="NPA13" s="16"/>
      <c r="NPB13" s="16"/>
      <c r="NPC13" s="16"/>
      <c r="NPD13" s="16"/>
      <c r="NPE13" s="16"/>
      <c r="NPF13" s="16"/>
      <c r="NPG13" s="16"/>
      <c r="NPH13" s="16"/>
      <c r="NPI13" s="16"/>
      <c r="NPJ13" s="16"/>
      <c r="NPK13" s="16"/>
      <c r="NPL13" s="16"/>
      <c r="NPM13" s="16"/>
      <c r="NPN13" s="16"/>
      <c r="NPO13" s="16"/>
      <c r="NPP13" s="16"/>
      <c r="NPQ13" s="16"/>
      <c r="NPR13" s="16"/>
      <c r="NPS13" s="16"/>
      <c r="NPT13" s="16"/>
      <c r="NPU13" s="16"/>
      <c r="NPV13" s="16"/>
      <c r="NPW13" s="16"/>
      <c r="NPX13" s="16"/>
      <c r="NPY13" s="16"/>
      <c r="NPZ13" s="16"/>
      <c r="NQA13" s="16"/>
      <c r="NQB13" s="16"/>
      <c r="NQC13" s="16"/>
      <c r="NQD13" s="16"/>
      <c r="NQE13" s="16"/>
      <c r="NQF13" s="16"/>
      <c r="NQG13" s="16"/>
      <c r="NQH13" s="16"/>
      <c r="NQI13" s="16"/>
      <c r="NQJ13" s="16"/>
      <c r="NQK13" s="16"/>
      <c r="NQL13" s="16"/>
      <c r="NQM13" s="16"/>
      <c r="NQN13" s="16"/>
      <c r="NQO13" s="16"/>
      <c r="NQP13" s="16"/>
      <c r="NQQ13" s="16"/>
      <c r="NQR13" s="16"/>
      <c r="NQS13" s="16"/>
      <c r="NQT13" s="16"/>
      <c r="NQU13" s="16"/>
      <c r="NQV13" s="16"/>
      <c r="NQW13" s="16"/>
      <c r="NQX13" s="16"/>
      <c r="NQY13" s="16"/>
      <c r="NQZ13" s="16"/>
      <c r="NRA13" s="16"/>
      <c r="NRB13" s="16"/>
      <c r="NRC13" s="16"/>
      <c r="NRD13" s="16"/>
      <c r="NRE13" s="16"/>
      <c r="NRF13" s="16"/>
      <c r="NRG13" s="16"/>
      <c r="NRH13" s="16"/>
      <c r="NRI13" s="16"/>
      <c r="NRJ13" s="16"/>
      <c r="NRK13" s="16"/>
      <c r="NRL13" s="16"/>
      <c r="NRM13" s="16"/>
      <c r="NRN13" s="16"/>
      <c r="NRO13" s="16"/>
      <c r="NRP13" s="16"/>
      <c r="NRQ13" s="16"/>
      <c r="NRR13" s="16"/>
      <c r="NRS13" s="16"/>
      <c r="NRT13" s="16"/>
      <c r="NRU13" s="16"/>
      <c r="NRV13" s="16"/>
      <c r="NRW13" s="16"/>
      <c r="NRX13" s="16"/>
      <c r="NRY13" s="16"/>
      <c r="NRZ13" s="16"/>
      <c r="NSA13" s="16"/>
      <c r="NSB13" s="16"/>
      <c r="NSC13" s="16"/>
      <c r="NSD13" s="16"/>
      <c r="NSE13" s="16"/>
      <c r="NSF13" s="16"/>
      <c r="NSG13" s="16"/>
      <c r="NSH13" s="16"/>
      <c r="NSI13" s="16"/>
      <c r="NSJ13" s="16"/>
      <c r="NSK13" s="16"/>
      <c r="NSL13" s="16"/>
      <c r="NSM13" s="16"/>
      <c r="NSN13" s="16"/>
      <c r="NSO13" s="16"/>
      <c r="NSP13" s="16"/>
      <c r="NSQ13" s="16"/>
      <c r="NSR13" s="16"/>
      <c r="NSS13" s="16"/>
      <c r="NST13" s="16"/>
      <c r="NSU13" s="16"/>
      <c r="NSV13" s="16"/>
      <c r="NSW13" s="16"/>
      <c r="NSX13" s="16"/>
      <c r="NSY13" s="16"/>
      <c r="NSZ13" s="16"/>
      <c r="NTA13" s="16"/>
      <c r="NTB13" s="16"/>
      <c r="NTC13" s="16"/>
      <c r="NTD13" s="16"/>
      <c r="NTE13" s="16"/>
      <c r="NTF13" s="16"/>
      <c r="NTG13" s="16"/>
      <c r="NTH13" s="16"/>
      <c r="NTI13" s="16"/>
      <c r="NTJ13" s="16"/>
      <c r="NTK13" s="16"/>
      <c r="NTL13" s="16"/>
      <c r="NTM13" s="16"/>
      <c r="NTN13" s="16"/>
      <c r="NTO13" s="16"/>
      <c r="NTP13" s="16"/>
      <c r="NTQ13" s="16"/>
      <c r="NTR13" s="16"/>
      <c r="NTS13" s="16"/>
      <c r="NTT13" s="16"/>
      <c r="NTU13" s="16"/>
      <c r="NTV13" s="16"/>
      <c r="NTW13" s="16"/>
      <c r="NTX13" s="16"/>
      <c r="NTY13" s="16"/>
      <c r="NTZ13" s="16"/>
      <c r="NUA13" s="16"/>
      <c r="NUB13" s="16"/>
      <c r="NUC13" s="16"/>
      <c r="NUD13" s="16"/>
      <c r="NUE13" s="16"/>
      <c r="NUF13" s="16"/>
      <c r="NUG13" s="16"/>
      <c r="NUH13" s="16"/>
      <c r="NUI13" s="16"/>
      <c r="NUJ13" s="16"/>
      <c r="NUK13" s="16"/>
      <c r="NUL13" s="16"/>
      <c r="NUM13" s="16"/>
      <c r="NUN13" s="16"/>
      <c r="NUO13" s="16"/>
      <c r="NUP13" s="16"/>
      <c r="NUQ13" s="16"/>
      <c r="NUR13" s="16"/>
      <c r="NUS13" s="16"/>
      <c r="NUT13" s="16"/>
      <c r="NUU13" s="16"/>
      <c r="NUV13" s="16"/>
      <c r="NUW13" s="16"/>
      <c r="NUX13" s="16"/>
      <c r="NUY13" s="16"/>
      <c r="NUZ13" s="16"/>
      <c r="NVA13" s="16"/>
      <c r="NVB13" s="16"/>
      <c r="NVC13" s="16"/>
      <c r="NVD13" s="16"/>
      <c r="NVE13" s="16"/>
      <c r="NVF13" s="16"/>
      <c r="NVG13" s="16"/>
      <c r="NVH13" s="16"/>
      <c r="NVI13" s="16"/>
      <c r="NVJ13" s="16"/>
      <c r="NVK13" s="16"/>
      <c r="NVL13" s="16"/>
      <c r="NVM13" s="16"/>
      <c r="NVN13" s="16"/>
      <c r="NVO13" s="16"/>
      <c r="NVP13" s="16"/>
      <c r="NVQ13" s="16"/>
      <c r="NVR13" s="16"/>
      <c r="NVS13" s="16"/>
      <c r="NVT13" s="16"/>
      <c r="NVU13" s="16"/>
      <c r="NVV13" s="16"/>
      <c r="NVW13" s="16"/>
      <c r="NVX13" s="16"/>
      <c r="NVY13" s="16"/>
      <c r="NVZ13" s="16"/>
      <c r="NWA13" s="16"/>
      <c r="NWB13" s="16"/>
      <c r="NWC13" s="16"/>
      <c r="NWD13" s="16"/>
      <c r="NWE13" s="16"/>
      <c r="NWF13" s="16"/>
      <c r="NWG13" s="16"/>
      <c r="NWH13" s="16"/>
      <c r="NWI13" s="16"/>
      <c r="NWJ13" s="16"/>
      <c r="NWK13" s="16"/>
      <c r="NWL13" s="16"/>
      <c r="NWM13" s="16"/>
      <c r="NWN13" s="16"/>
      <c r="NWO13" s="16"/>
      <c r="NWP13" s="16"/>
      <c r="NWQ13" s="16"/>
      <c r="NWR13" s="16"/>
      <c r="NWS13" s="16"/>
      <c r="NWT13" s="16"/>
      <c r="NWU13" s="16"/>
      <c r="NWV13" s="16"/>
      <c r="NWW13" s="16"/>
      <c r="NWX13" s="16"/>
      <c r="NWY13" s="16"/>
      <c r="NWZ13" s="16"/>
      <c r="NXA13" s="16"/>
      <c r="NXB13" s="16"/>
      <c r="NXC13" s="16"/>
      <c r="NXD13" s="16"/>
      <c r="NXE13" s="16"/>
      <c r="NXF13" s="16"/>
      <c r="NXG13" s="16"/>
      <c r="NXH13" s="16"/>
      <c r="NXI13" s="16"/>
      <c r="NXJ13" s="16"/>
      <c r="NXK13" s="16"/>
      <c r="NXL13" s="16"/>
      <c r="NXM13" s="16"/>
      <c r="NXN13" s="16"/>
      <c r="NXO13" s="16"/>
      <c r="NXP13" s="16"/>
      <c r="NXQ13" s="16"/>
      <c r="NXR13" s="16"/>
      <c r="NXS13" s="16"/>
      <c r="NXT13" s="16"/>
      <c r="NXU13" s="16"/>
      <c r="NXV13" s="16"/>
      <c r="NXW13" s="16"/>
      <c r="NXX13" s="16"/>
      <c r="NXY13" s="16"/>
      <c r="NXZ13" s="16"/>
      <c r="NYA13" s="16"/>
      <c r="NYB13" s="16"/>
      <c r="NYC13" s="16"/>
      <c r="NYD13" s="16"/>
      <c r="NYE13" s="16"/>
      <c r="NYF13" s="16"/>
      <c r="NYG13" s="16"/>
      <c r="NYH13" s="16"/>
      <c r="NYI13" s="16"/>
      <c r="NYJ13" s="16"/>
      <c r="NYK13" s="16"/>
      <c r="NYL13" s="16"/>
      <c r="NYM13" s="16"/>
      <c r="NYN13" s="16"/>
      <c r="NYO13" s="16"/>
      <c r="NYP13" s="16"/>
      <c r="NYQ13" s="16"/>
      <c r="NYR13" s="16"/>
      <c r="NYS13" s="16"/>
      <c r="NYT13" s="16"/>
      <c r="NYU13" s="16"/>
      <c r="NYV13" s="16"/>
      <c r="NYW13" s="16"/>
      <c r="NYX13" s="16"/>
      <c r="NYY13" s="16"/>
      <c r="NYZ13" s="16"/>
      <c r="NZA13" s="16"/>
      <c r="NZB13" s="16"/>
      <c r="NZC13" s="16"/>
      <c r="NZD13" s="16"/>
      <c r="NZE13" s="16"/>
      <c r="NZF13" s="16"/>
      <c r="NZG13" s="16"/>
      <c r="NZH13" s="16"/>
      <c r="NZI13" s="16"/>
      <c r="NZJ13" s="16"/>
      <c r="NZK13" s="16"/>
      <c r="NZL13" s="16"/>
      <c r="NZM13" s="16"/>
      <c r="NZN13" s="16"/>
      <c r="NZO13" s="16"/>
      <c r="NZP13" s="16"/>
      <c r="NZQ13" s="16"/>
      <c r="NZR13" s="16"/>
      <c r="NZS13" s="16"/>
      <c r="NZT13" s="16"/>
      <c r="NZU13" s="16"/>
      <c r="NZV13" s="16"/>
      <c r="NZW13" s="16"/>
      <c r="NZX13" s="16"/>
      <c r="NZY13" s="16"/>
      <c r="NZZ13" s="16"/>
      <c r="OAA13" s="16"/>
      <c r="OAB13" s="16"/>
      <c r="OAC13" s="16"/>
      <c r="OAD13" s="16"/>
      <c r="OAE13" s="16"/>
      <c r="OAF13" s="16"/>
      <c r="OAG13" s="16"/>
      <c r="OAH13" s="16"/>
      <c r="OAI13" s="16"/>
      <c r="OAJ13" s="16"/>
      <c r="OAK13" s="16"/>
      <c r="OAL13" s="16"/>
      <c r="OAM13" s="16"/>
      <c r="OAN13" s="16"/>
      <c r="OAO13" s="16"/>
      <c r="OAP13" s="16"/>
      <c r="OAQ13" s="16"/>
      <c r="OAR13" s="16"/>
      <c r="OAS13" s="16"/>
      <c r="OAT13" s="16"/>
      <c r="OAU13" s="16"/>
      <c r="OAV13" s="16"/>
      <c r="OAW13" s="16"/>
      <c r="OAX13" s="16"/>
      <c r="OAY13" s="16"/>
      <c r="OAZ13" s="16"/>
      <c r="OBA13" s="16"/>
      <c r="OBB13" s="16"/>
      <c r="OBC13" s="16"/>
      <c r="OBD13" s="16"/>
      <c r="OBE13" s="16"/>
      <c r="OBF13" s="16"/>
      <c r="OBG13" s="16"/>
      <c r="OBH13" s="16"/>
      <c r="OBI13" s="16"/>
      <c r="OBJ13" s="16"/>
      <c r="OBK13" s="16"/>
      <c r="OBL13" s="16"/>
      <c r="OBM13" s="16"/>
      <c r="OBN13" s="16"/>
      <c r="OBO13" s="16"/>
      <c r="OBP13" s="16"/>
      <c r="OBQ13" s="16"/>
      <c r="OBR13" s="16"/>
      <c r="OBS13" s="16"/>
      <c r="OBT13" s="16"/>
      <c r="OBU13" s="16"/>
      <c r="OBV13" s="16"/>
      <c r="OBW13" s="16"/>
      <c r="OBX13" s="16"/>
      <c r="OBY13" s="16"/>
      <c r="OBZ13" s="16"/>
      <c r="OCA13" s="16"/>
      <c r="OCB13" s="16"/>
      <c r="OCC13" s="16"/>
      <c r="OCD13" s="16"/>
      <c r="OCE13" s="16"/>
      <c r="OCF13" s="16"/>
      <c r="OCG13" s="16"/>
      <c r="OCH13" s="16"/>
      <c r="OCI13" s="16"/>
      <c r="OCJ13" s="16"/>
      <c r="OCK13" s="16"/>
      <c r="OCL13" s="16"/>
      <c r="OCM13" s="16"/>
      <c r="OCN13" s="16"/>
      <c r="OCO13" s="16"/>
      <c r="OCP13" s="16"/>
      <c r="OCQ13" s="16"/>
      <c r="OCR13" s="16"/>
      <c r="OCS13" s="16"/>
      <c r="OCT13" s="16"/>
      <c r="OCU13" s="16"/>
      <c r="OCV13" s="16"/>
      <c r="OCW13" s="16"/>
      <c r="OCX13" s="16"/>
      <c r="OCY13" s="16"/>
      <c r="OCZ13" s="16"/>
      <c r="ODA13" s="16"/>
      <c r="ODB13" s="16"/>
      <c r="ODC13" s="16"/>
      <c r="ODD13" s="16"/>
      <c r="ODE13" s="16"/>
      <c r="ODF13" s="16"/>
      <c r="ODG13" s="16"/>
      <c r="ODH13" s="16"/>
      <c r="ODI13" s="16"/>
      <c r="ODJ13" s="16"/>
      <c r="ODK13" s="16"/>
      <c r="ODL13" s="16"/>
      <c r="ODM13" s="16"/>
      <c r="ODN13" s="16"/>
      <c r="ODO13" s="16"/>
      <c r="ODP13" s="16"/>
      <c r="ODQ13" s="16"/>
      <c r="ODR13" s="16"/>
      <c r="ODS13" s="16"/>
      <c r="ODT13" s="16"/>
      <c r="ODU13" s="16"/>
      <c r="ODV13" s="16"/>
      <c r="ODW13" s="16"/>
      <c r="ODX13" s="16"/>
      <c r="ODY13" s="16"/>
      <c r="ODZ13" s="16"/>
      <c r="OEA13" s="16"/>
      <c r="OEB13" s="16"/>
      <c r="OEC13" s="16"/>
      <c r="OED13" s="16"/>
      <c r="OEE13" s="16"/>
      <c r="OEF13" s="16"/>
      <c r="OEG13" s="16"/>
      <c r="OEH13" s="16"/>
      <c r="OEI13" s="16"/>
      <c r="OEJ13" s="16"/>
      <c r="OEK13" s="16"/>
      <c r="OEL13" s="16"/>
      <c r="OEM13" s="16"/>
      <c r="OEN13" s="16"/>
      <c r="OEO13" s="16"/>
      <c r="OEP13" s="16"/>
      <c r="OEQ13" s="16"/>
      <c r="OER13" s="16"/>
      <c r="OES13" s="16"/>
      <c r="OET13" s="16"/>
      <c r="OEU13" s="16"/>
      <c r="OEV13" s="16"/>
      <c r="OEW13" s="16"/>
      <c r="OEX13" s="16"/>
      <c r="OEY13" s="16"/>
      <c r="OEZ13" s="16"/>
      <c r="OFA13" s="16"/>
      <c r="OFB13" s="16"/>
      <c r="OFC13" s="16"/>
      <c r="OFD13" s="16"/>
      <c r="OFE13" s="16"/>
      <c r="OFF13" s="16"/>
      <c r="OFG13" s="16"/>
      <c r="OFH13" s="16"/>
      <c r="OFI13" s="16"/>
      <c r="OFJ13" s="16"/>
      <c r="OFK13" s="16"/>
      <c r="OFL13" s="16"/>
      <c r="OFM13" s="16"/>
      <c r="OFN13" s="16"/>
      <c r="OFO13" s="16"/>
      <c r="OFP13" s="16"/>
      <c r="OFQ13" s="16"/>
      <c r="OFR13" s="16"/>
      <c r="OFS13" s="16"/>
      <c r="OFT13" s="16"/>
      <c r="OFU13" s="16"/>
      <c r="OFV13" s="16"/>
      <c r="OFW13" s="16"/>
      <c r="OFX13" s="16"/>
      <c r="OFY13" s="16"/>
      <c r="OFZ13" s="16"/>
      <c r="OGA13" s="16"/>
      <c r="OGB13" s="16"/>
      <c r="OGC13" s="16"/>
      <c r="OGD13" s="16"/>
      <c r="OGE13" s="16"/>
      <c r="OGF13" s="16"/>
      <c r="OGG13" s="16"/>
      <c r="OGH13" s="16"/>
      <c r="OGI13" s="16"/>
      <c r="OGJ13" s="16"/>
      <c r="OGK13" s="16"/>
      <c r="OGL13" s="16"/>
      <c r="OGM13" s="16"/>
      <c r="OGN13" s="16"/>
      <c r="OGO13" s="16"/>
      <c r="OGP13" s="16"/>
      <c r="OGQ13" s="16"/>
      <c r="OGR13" s="16"/>
      <c r="OGS13" s="16"/>
      <c r="OGT13" s="16"/>
      <c r="OGU13" s="16"/>
      <c r="OGV13" s="16"/>
      <c r="OGW13" s="16"/>
      <c r="OGX13" s="16"/>
      <c r="OGY13" s="16"/>
      <c r="OGZ13" s="16"/>
      <c r="OHA13" s="16"/>
      <c r="OHB13" s="16"/>
      <c r="OHC13" s="16"/>
      <c r="OHD13" s="16"/>
      <c r="OHE13" s="16"/>
      <c r="OHF13" s="16"/>
      <c r="OHG13" s="16"/>
      <c r="OHH13" s="16"/>
      <c r="OHI13" s="16"/>
      <c r="OHJ13" s="16"/>
      <c r="OHK13" s="16"/>
      <c r="OHL13" s="16"/>
      <c r="OHM13" s="16"/>
      <c r="OHN13" s="16"/>
      <c r="OHO13" s="16"/>
      <c r="OHP13" s="16"/>
      <c r="OHQ13" s="16"/>
      <c r="OHR13" s="16"/>
      <c r="OHS13" s="16"/>
      <c r="OHT13" s="16"/>
      <c r="OHU13" s="16"/>
      <c r="OHV13" s="16"/>
      <c r="OHW13" s="16"/>
      <c r="OHX13" s="16"/>
      <c r="OHY13" s="16"/>
      <c r="OHZ13" s="16"/>
      <c r="OIA13" s="16"/>
      <c r="OIB13" s="16"/>
      <c r="OIC13" s="16"/>
      <c r="OID13" s="16"/>
      <c r="OIE13" s="16"/>
      <c r="OIF13" s="16"/>
      <c r="OIG13" s="16"/>
      <c r="OIH13" s="16"/>
      <c r="OII13" s="16"/>
      <c r="OIJ13" s="16"/>
      <c r="OIK13" s="16"/>
      <c r="OIL13" s="16"/>
      <c r="OIM13" s="16"/>
      <c r="OIN13" s="16"/>
      <c r="OIO13" s="16"/>
      <c r="OIP13" s="16"/>
      <c r="OIQ13" s="16"/>
      <c r="OIR13" s="16"/>
      <c r="OIS13" s="16"/>
      <c r="OIT13" s="16"/>
      <c r="OIU13" s="16"/>
      <c r="OIV13" s="16"/>
      <c r="OIW13" s="16"/>
      <c r="OIX13" s="16"/>
      <c r="OIY13" s="16"/>
      <c r="OIZ13" s="16"/>
      <c r="OJA13" s="16"/>
      <c r="OJB13" s="16"/>
      <c r="OJC13" s="16"/>
      <c r="OJD13" s="16"/>
      <c r="OJE13" s="16"/>
      <c r="OJF13" s="16"/>
      <c r="OJG13" s="16"/>
      <c r="OJH13" s="16"/>
      <c r="OJI13" s="16"/>
      <c r="OJJ13" s="16"/>
      <c r="OJK13" s="16"/>
      <c r="OJL13" s="16"/>
      <c r="OJM13" s="16"/>
      <c r="OJN13" s="16"/>
      <c r="OJO13" s="16"/>
      <c r="OJP13" s="16"/>
      <c r="OJQ13" s="16"/>
      <c r="OJR13" s="16"/>
      <c r="OJS13" s="16"/>
      <c r="OJT13" s="16"/>
      <c r="OJU13" s="16"/>
      <c r="OJV13" s="16"/>
      <c r="OJW13" s="16"/>
      <c r="OJX13" s="16"/>
      <c r="OJY13" s="16"/>
      <c r="OJZ13" s="16"/>
      <c r="OKA13" s="16"/>
      <c r="OKB13" s="16"/>
      <c r="OKC13" s="16"/>
      <c r="OKD13" s="16"/>
      <c r="OKE13" s="16"/>
      <c r="OKF13" s="16"/>
      <c r="OKG13" s="16"/>
      <c r="OKH13" s="16"/>
      <c r="OKI13" s="16"/>
      <c r="OKJ13" s="16"/>
      <c r="OKK13" s="16"/>
      <c r="OKL13" s="16"/>
      <c r="OKM13" s="16"/>
      <c r="OKN13" s="16"/>
      <c r="OKO13" s="16"/>
      <c r="OKP13" s="16"/>
      <c r="OKQ13" s="16"/>
      <c r="OKR13" s="16"/>
      <c r="OKS13" s="16"/>
      <c r="OKT13" s="16"/>
      <c r="OKU13" s="16"/>
      <c r="OKV13" s="16"/>
      <c r="OKW13" s="16"/>
      <c r="OKX13" s="16"/>
      <c r="OKY13" s="16"/>
      <c r="OKZ13" s="16"/>
      <c r="OLA13" s="16"/>
      <c r="OLB13" s="16"/>
      <c r="OLC13" s="16"/>
      <c r="OLD13" s="16"/>
      <c r="OLE13" s="16"/>
      <c r="OLF13" s="16"/>
      <c r="OLG13" s="16"/>
      <c r="OLH13" s="16"/>
      <c r="OLI13" s="16"/>
      <c r="OLJ13" s="16"/>
      <c r="OLK13" s="16"/>
      <c r="OLL13" s="16"/>
      <c r="OLM13" s="16"/>
      <c r="OLN13" s="16"/>
      <c r="OLO13" s="16"/>
      <c r="OLP13" s="16"/>
      <c r="OLQ13" s="16"/>
      <c r="OLR13" s="16"/>
      <c r="OLS13" s="16"/>
      <c r="OLT13" s="16"/>
      <c r="OLU13" s="16"/>
      <c r="OLV13" s="16"/>
      <c r="OLW13" s="16"/>
      <c r="OLX13" s="16"/>
      <c r="OLY13" s="16"/>
      <c r="OLZ13" s="16"/>
      <c r="OMA13" s="16"/>
      <c r="OMB13" s="16"/>
      <c r="OMC13" s="16"/>
      <c r="OMD13" s="16"/>
      <c r="OME13" s="16"/>
      <c r="OMF13" s="16"/>
      <c r="OMG13" s="16"/>
      <c r="OMH13" s="16"/>
      <c r="OMI13" s="16"/>
      <c r="OMJ13" s="16"/>
      <c r="OMK13" s="16"/>
      <c r="OML13" s="16"/>
      <c r="OMM13" s="16"/>
      <c r="OMN13" s="16"/>
      <c r="OMO13" s="16"/>
      <c r="OMP13" s="16"/>
      <c r="OMQ13" s="16"/>
      <c r="OMR13" s="16"/>
      <c r="OMS13" s="16"/>
      <c r="OMT13" s="16"/>
      <c r="OMU13" s="16"/>
      <c r="OMV13" s="16"/>
      <c r="OMW13" s="16"/>
      <c r="OMX13" s="16"/>
      <c r="OMY13" s="16"/>
      <c r="OMZ13" s="16"/>
      <c r="ONA13" s="16"/>
      <c r="ONB13" s="16"/>
      <c r="ONC13" s="16"/>
      <c r="OND13" s="16"/>
      <c r="ONE13" s="16"/>
      <c r="ONF13" s="16"/>
      <c r="ONG13" s="16"/>
      <c r="ONH13" s="16"/>
      <c r="ONI13" s="16"/>
      <c r="ONJ13" s="16"/>
      <c r="ONK13" s="16"/>
      <c r="ONL13" s="16"/>
      <c r="ONM13" s="16"/>
      <c r="ONN13" s="16"/>
      <c r="ONO13" s="16"/>
      <c r="ONP13" s="16"/>
      <c r="ONQ13" s="16"/>
      <c r="ONR13" s="16"/>
      <c r="ONS13" s="16"/>
      <c r="ONT13" s="16"/>
      <c r="ONU13" s="16"/>
      <c r="ONV13" s="16"/>
      <c r="ONW13" s="16"/>
      <c r="ONX13" s="16"/>
      <c r="ONY13" s="16"/>
      <c r="ONZ13" s="16"/>
      <c r="OOA13" s="16"/>
      <c r="OOB13" s="16"/>
      <c r="OOC13" s="16"/>
      <c r="OOD13" s="16"/>
      <c r="OOE13" s="16"/>
      <c r="OOF13" s="16"/>
      <c r="OOG13" s="16"/>
      <c r="OOH13" s="16"/>
      <c r="OOI13" s="16"/>
      <c r="OOJ13" s="16"/>
      <c r="OOK13" s="16"/>
      <c r="OOL13" s="16"/>
      <c r="OOM13" s="16"/>
      <c r="OON13" s="16"/>
      <c r="OOO13" s="16"/>
      <c r="OOP13" s="16"/>
      <c r="OOQ13" s="16"/>
      <c r="OOR13" s="16"/>
      <c r="OOS13" s="16"/>
      <c r="OOT13" s="16"/>
      <c r="OOU13" s="16"/>
      <c r="OOV13" s="16"/>
      <c r="OOW13" s="16"/>
      <c r="OOX13" s="16"/>
      <c r="OOY13" s="16"/>
      <c r="OOZ13" s="16"/>
      <c r="OPA13" s="16"/>
      <c r="OPB13" s="16"/>
      <c r="OPC13" s="16"/>
      <c r="OPD13" s="16"/>
      <c r="OPE13" s="16"/>
      <c r="OPF13" s="16"/>
      <c r="OPG13" s="16"/>
      <c r="OPH13" s="16"/>
      <c r="OPI13" s="16"/>
      <c r="OPJ13" s="16"/>
      <c r="OPK13" s="16"/>
      <c r="OPL13" s="16"/>
      <c r="OPM13" s="16"/>
      <c r="OPN13" s="16"/>
      <c r="OPO13" s="16"/>
      <c r="OPP13" s="16"/>
      <c r="OPQ13" s="16"/>
      <c r="OPR13" s="16"/>
      <c r="OPS13" s="16"/>
      <c r="OPT13" s="16"/>
      <c r="OPU13" s="16"/>
      <c r="OPV13" s="16"/>
      <c r="OPW13" s="16"/>
      <c r="OPX13" s="16"/>
      <c r="OPY13" s="16"/>
      <c r="OPZ13" s="16"/>
      <c r="OQA13" s="16"/>
      <c r="OQB13" s="16"/>
      <c r="OQC13" s="16"/>
      <c r="OQD13" s="16"/>
      <c r="OQE13" s="16"/>
      <c r="OQF13" s="16"/>
      <c r="OQG13" s="16"/>
      <c r="OQH13" s="16"/>
      <c r="OQI13" s="16"/>
      <c r="OQJ13" s="16"/>
      <c r="OQK13" s="16"/>
      <c r="OQL13" s="16"/>
      <c r="OQM13" s="16"/>
      <c r="OQN13" s="16"/>
      <c r="OQO13" s="16"/>
      <c r="OQP13" s="16"/>
      <c r="OQQ13" s="16"/>
      <c r="OQR13" s="16"/>
      <c r="OQS13" s="16"/>
      <c r="OQT13" s="16"/>
      <c r="OQU13" s="16"/>
      <c r="OQV13" s="16"/>
      <c r="OQW13" s="16"/>
      <c r="OQX13" s="16"/>
      <c r="OQY13" s="16"/>
      <c r="OQZ13" s="16"/>
      <c r="ORA13" s="16"/>
      <c r="ORB13" s="16"/>
      <c r="ORC13" s="16"/>
      <c r="ORD13" s="16"/>
      <c r="ORE13" s="16"/>
      <c r="ORF13" s="16"/>
      <c r="ORG13" s="16"/>
      <c r="ORH13" s="16"/>
      <c r="ORI13" s="16"/>
      <c r="ORJ13" s="16"/>
      <c r="ORK13" s="16"/>
      <c r="ORL13" s="16"/>
      <c r="ORM13" s="16"/>
      <c r="ORN13" s="16"/>
      <c r="ORO13" s="16"/>
      <c r="ORP13" s="16"/>
      <c r="ORQ13" s="16"/>
      <c r="ORR13" s="16"/>
      <c r="ORS13" s="16"/>
      <c r="ORT13" s="16"/>
      <c r="ORU13" s="16"/>
      <c r="ORV13" s="16"/>
      <c r="ORW13" s="16"/>
      <c r="ORX13" s="16"/>
      <c r="ORY13" s="16"/>
      <c r="ORZ13" s="16"/>
      <c r="OSA13" s="16"/>
      <c r="OSB13" s="16"/>
      <c r="OSC13" s="16"/>
      <c r="OSD13" s="16"/>
      <c r="OSE13" s="16"/>
      <c r="OSF13" s="16"/>
      <c r="OSG13" s="16"/>
      <c r="OSH13" s="16"/>
      <c r="OSI13" s="16"/>
      <c r="OSJ13" s="16"/>
      <c r="OSK13" s="16"/>
      <c r="OSL13" s="16"/>
      <c r="OSM13" s="16"/>
      <c r="OSN13" s="16"/>
      <c r="OSO13" s="16"/>
      <c r="OSP13" s="16"/>
      <c r="OSQ13" s="16"/>
      <c r="OSR13" s="16"/>
      <c r="OSS13" s="16"/>
      <c r="OST13" s="16"/>
      <c r="OSU13" s="16"/>
      <c r="OSV13" s="16"/>
      <c r="OSW13" s="16"/>
      <c r="OSX13" s="16"/>
      <c r="OSY13" s="16"/>
      <c r="OSZ13" s="16"/>
      <c r="OTA13" s="16"/>
      <c r="OTB13" s="16"/>
      <c r="OTC13" s="16"/>
      <c r="OTD13" s="16"/>
      <c r="OTE13" s="16"/>
      <c r="OTF13" s="16"/>
      <c r="OTG13" s="16"/>
      <c r="OTH13" s="16"/>
      <c r="OTI13" s="16"/>
      <c r="OTJ13" s="16"/>
      <c r="OTK13" s="16"/>
      <c r="OTL13" s="16"/>
      <c r="OTM13" s="16"/>
      <c r="OTN13" s="16"/>
      <c r="OTO13" s="16"/>
      <c r="OTP13" s="16"/>
      <c r="OTQ13" s="16"/>
      <c r="OTR13" s="16"/>
      <c r="OTS13" s="16"/>
      <c r="OTT13" s="16"/>
      <c r="OTU13" s="16"/>
      <c r="OTV13" s="16"/>
      <c r="OTW13" s="16"/>
      <c r="OTX13" s="16"/>
      <c r="OTY13" s="16"/>
      <c r="OTZ13" s="16"/>
      <c r="OUA13" s="16"/>
      <c r="OUB13" s="16"/>
      <c r="OUC13" s="16"/>
      <c r="OUD13" s="16"/>
      <c r="OUE13" s="16"/>
      <c r="OUF13" s="16"/>
      <c r="OUG13" s="16"/>
      <c r="OUH13" s="16"/>
      <c r="OUI13" s="16"/>
      <c r="OUJ13" s="16"/>
      <c r="OUK13" s="16"/>
      <c r="OUL13" s="16"/>
      <c r="OUM13" s="16"/>
      <c r="OUN13" s="16"/>
      <c r="OUO13" s="16"/>
      <c r="OUP13" s="16"/>
      <c r="OUQ13" s="16"/>
      <c r="OUR13" s="16"/>
      <c r="OUS13" s="16"/>
      <c r="OUT13" s="16"/>
      <c r="OUU13" s="16"/>
      <c r="OUV13" s="16"/>
      <c r="OUW13" s="16"/>
      <c r="OUX13" s="16"/>
      <c r="OUY13" s="16"/>
      <c r="OUZ13" s="16"/>
      <c r="OVA13" s="16"/>
      <c r="OVB13" s="16"/>
      <c r="OVC13" s="16"/>
      <c r="OVD13" s="16"/>
      <c r="OVE13" s="16"/>
      <c r="OVF13" s="16"/>
      <c r="OVG13" s="16"/>
      <c r="OVH13" s="16"/>
      <c r="OVI13" s="16"/>
      <c r="OVJ13" s="16"/>
      <c r="OVK13" s="16"/>
      <c r="OVL13" s="16"/>
      <c r="OVM13" s="16"/>
      <c r="OVN13" s="16"/>
      <c r="OVO13" s="16"/>
      <c r="OVP13" s="16"/>
      <c r="OVQ13" s="16"/>
      <c r="OVR13" s="16"/>
      <c r="OVS13" s="16"/>
      <c r="OVT13" s="16"/>
      <c r="OVU13" s="16"/>
      <c r="OVV13" s="16"/>
      <c r="OVW13" s="16"/>
      <c r="OVX13" s="16"/>
      <c r="OVY13" s="16"/>
      <c r="OVZ13" s="16"/>
      <c r="OWA13" s="16"/>
      <c r="OWB13" s="16"/>
      <c r="OWC13" s="16"/>
      <c r="OWD13" s="16"/>
      <c r="OWE13" s="16"/>
      <c r="OWF13" s="16"/>
      <c r="OWG13" s="16"/>
      <c r="OWH13" s="16"/>
      <c r="OWI13" s="16"/>
      <c r="OWJ13" s="16"/>
      <c r="OWK13" s="16"/>
      <c r="OWL13" s="16"/>
      <c r="OWM13" s="16"/>
      <c r="OWN13" s="16"/>
      <c r="OWO13" s="16"/>
      <c r="OWP13" s="16"/>
      <c r="OWQ13" s="16"/>
      <c r="OWR13" s="16"/>
      <c r="OWS13" s="16"/>
      <c r="OWT13" s="16"/>
      <c r="OWU13" s="16"/>
      <c r="OWV13" s="16"/>
      <c r="OWW13" s="16"/>
      <c r="OWX13" s="16"/>
      <c r="OWY13" s="16"/>
      <c r="OWZ13" s="16"/>
      <c r="OXA13" s="16"/>
      <c r="OXB13" s="16"/>
      <c r="OXC13" s="16"/>
      <c r="OXD13" s="16"/>
      <c r="OXE13" s="16"/>
      <c r="OXF13" s="16"/>
      <c r="OXG13" s="16"/>
      <c r="OXH13" s="16"/>
      <c r="OXI13" s="16"/>
      <c r="OXJ13" s="16"/>
      <c r="OXK13" s="16"/>
      <c r="OXL13" s="16"/>
      <c r="OXM13" s="16"/>
      <c r="OXN13" s="16"/>
      <c r="OXO13" s="16"/>
      <c r="OXP13" s="16"/>
      <c r="OXQ13" s="16"/>
      <c r="OXR13" s="16"/>
      <c r="OXS13" s="16"/>
      <c r="OXT13" s="16"/>
      <c r="OXU13" s="16"/>
      <c r="OXV13" s="16"/>
      <c r="OXW13" s="16"/>
      <c r="OXX13" s="16"/>
      <c r="OXY13" s="16"/>
      <c r="OXZ13" s="16"/>
      <c r="OYA13" s="16"/>
      <c r="OYB13" s="16"/>
      <c r="OYC13" s="16"/>
      <c r="OYD13" s="16"/>
      <c r="OYE13" s="16"/>
      <c r="OYF13" s="16"/>
      <c r="OYG13" s="16"/>
      <c r="OYH13" s="16"/>
      <c r="OYI13" s="16"/>
      <c r="OYJ13" s="16"/>
      <c r="OYK13" s="16"/>
      <c r="OYL13" s="16"/>
      <c r="OYM13" s="16"/>
      <c r="OYN13" s="16"/>
      <c r="OYO13" s="16"/>
      <c r="OYP13" s="16"/>
      <c r="OYQ13" s="16"/>
      <c r="OYR13" s="16"/>
      <c r="OYS13" s="16"/>
      <c r="OYT13" s="16"/>
      <c r="OYU13" s="16"/>
      <c r="OYV13" s="16"/>
      <c r="OYW13" s="16"/>
      <c r="OYX13" s="16"/>
      <c r="OYY13" s="16"/>
      <c r="OYZ13" s="16"/>
      <c r="OZA13" s="16"/>
      <c r="OZB13" s="16"/>
      <c r="OZC13" s="16"/>
      <c r="OZD13" s="16"/>
      <c r="OZE13" s="16"/>
      <c r="OZF13" s="16"/>
      <c r="OZG13" s="16"/>
      <c r="OZH13" s="16"/>
      <c r="OZI13" s="16"/>
      <c r="OZJ13" s="16"/>
      <c r="OZK13" s="16"/>
      <c r="OZL13" s="16"/>
      <c r="OZM13" s="16"/>
      <c r="OZN13" s="16"/>
      <c r="OZO13" s="16"/>
      <c r="OZP13" s="16"/>
      <c r="OZQ13" s="16"/>
      <c r="OZR13" s="16"/>
      <c r="OZS13" s="16"/>
      <c r="OZT13" s="16"/>
      <c r="OZU13" s="16"/>
      <c r="OZV13" s="16"/>
      <c r="OZW13" s="16"/>
      <c r="OZX13" s="16"/>
      <c r="OZY13" s="16"/>
      <c r="OZZ13" s="16"/>
      <c r="PAA13" s="16"/>
      <c r="PAB13" s="16"/>
      <c r="PAC13" s="16"/>
      <c r="PAD13" s="16"/>
      <c r="PAE13" s="16"/>
      <c r="PAF13" s="16"/>
      <c r="PAG13" s="16"/>
      <c r="PAH13" s="16"/>
      <c r="PAI13" s="16"/>
      <c r="PAJ13" s="16"/>
      <c r="PAK13" s="16"/>
      <c r="PAL13" s="16"/>
      <c r="PAM13" s="16"/>
      <c r="PAN13" s="16"/>
      <c r="PAO13" s="16"/>
      <c r="PAP13" s="16"/>
      <c r="PAQ13" s="16"/>
      <c r="PAR13" s="16"/>
      <c r="PAS13" s="16"/>
      <c r="PAT13" s="16"/>
      <c r="PAU13" s="16"/>
      <c r="PAV13" s="16"/>
      <c r="PAW13" s="16"/>
      <c r="PAX13" s="16"/>
      <c r="PAY13" s="16"/>
      <c r="PAZ13" s="16"/>
      <c r="PBA13" s="16"/>
      <c r="PBB13" s="16"/>
      <c r="PBC13" s="16"/>
      <c r="PBD13" s="16"/>
      <c r="PBE13" s="16"/>
      <c r="PBF13" s="16"/>
      <c r="PBG13" s="16"/>
      <c r="PBH13" s="16"/>
      <c r="PBI13" s="16"/>
      <c r="PBJ13" s="16"/>
      <c r="PBK13" s="16"/>
      <c r="PBL13" s="16"/>
      <c r="PBM13" s="16"/>
      <c r="PBN13" s="16"/>
      <c r="PBO13" s="16"/>
      <c r="PBP13" s="16"/>
      <c r="PBQ13" s="16"/>
      <c r="PBR13" s="16"/>
      <c r="PBS13" s="16"/>
      <c r="PBT13" s="16"/>
      <c r="PBU13" s="16"/>
      <c r="PBV13" s="16"/>
      <c r="PBW13" s="16"/>
      <c r="PBX13" s="16"/>
      <c r="PBY13" s="16"/>
      <c r="PBZ13" s="16"/>
      <c r="PCA13" s="16"/>
      <c r="PCB13" s="16"/>
      <c r="PCC13" s="16"/>
      <c r="PCD13" s="16"/>
      <c r="PCE13" s="16"/>
      <c r="PCF13" s="16"/>
      <c r="PCG13" s="16"/>
      <c r="PCH13" s="16"/>
      <c r="PCI13" s="16"/>
      <c r="PCJ13" s="16"/>
      <c r="PCK13" s="16"/>
      <c r="PCL13" s="16"/>
      <c r="PCM13" s="16"/>
      <c r="PCN13" s="16"/>
      <c r="PCO13" s="16"/>
      <c r="PCP13" s="16"/>
      <c r="PCQ13" s="16"/>
      <c r="PCR13" s="16"/>
      <c r="PCS13" s="16"/>
      <c r="PCT13" s="16"/>
      <c r="PCU13" s="16"/>
      <c r="PCV13" s="16"/>
      <c r="PCW13" s="16"/>
      <c r="PCX13" s="16"/>
      <c r="PCY13" s="16"/>
      <c r="PCZ13" s="16"/>
      <c r="PDA13" s="16"/>
      <c r="PDB13" s="16"/>
      <c r="PDC13" s="16"/>
      <c r="PDD13" s="16"/>
      <c r="PDE13" s="16"/>
      <c r="PDF13" s="16"/>
      <c r="PDG13" s="16"/>
      <c r="PDH13" s="16"/>
      <c r="PDI13" s="16"/>
      <c r="PDJ13" s="16"/>
      <c r="PDK13" s="16"/>
      <c r="PDL13" s="16"/>
      <c r="PDM13" s="16"/>
      <c r="PDN13" s="16"/>
      <c r="PDO13" s="16"/>
      <c r="PDP13" s="16"/>
      <c r="PDQ13" s="16"/>
      <c r="PDR13" s="16"/>
      <c r="PDS13" s="16"/>
      <c r="PDT13" s="16"/>
      <c r="PDU13" s="16"/>
      <c r="PDV13" s="16"/>
      <c r="PDW13" s="16"/>
      <c r="PDX13" s="16"/>
      <c r="PDY13" s="16"/>
      <c r="PDZ13" s="16"/>
      <c r="PEA13" s="16"/>
      <c r="PEB13" s="16"/>
      <c r="PEC13" s="16"/>
      <c r="PED13" s="16"/>
      <c r="PEE13" s="16"/>
      <c r="PEF13" s="16"/>
      <c r="PEG13" s="16"/>
      <c r="PEH13" s="16"/>
      <c r="PEI13" s="16"/>
      <c r="PEJ13" s="16"/>
      <c r="PEK13" s="16"/>
      <c r="PEL13" s="16"/>
      <c r="PEM13" s="16"/>
      <c r="PEN13" s="16"/>
      <c r="PEO13" s="16"/>
      <c r="PEP13" s="16"/>
      <c r="PEQ13" s="16"/>
      <c r="PER13" s="16"/>
      <c r="PES13" s="16"/>
      <c r="PET13" s="16"/>
      <c r="PEU13" s="16"/>
      <c r="PEV13" s="16"/>
      <c r="PEW13" s="16"/>
      <c r="PEX13" s="16"/>
      <c r="PEY13" s="16"/>
      <c r="PEZ13" s="16"/>
      <c r="PFA13" s="16"/>
      <c r="PFB13" s="16"/>
      <c r="PFC13" s="16"/>
      <c r="PFD13" s="16"/>
      <c r="PFE13" s="16"/>
      <c r="PFF13" s="16"/>
      <c r="PFG13" s="16"/>
      <c r="PFH13" s="16"/>
      <c r="PFI13" s="16"/>
      <c r="PFJ13" s="16"/>
      <c r="PFK13" s="16"/>
      <c r="PFL13" s="16"/>
      <c r="PFM13" s="16"/>
      <c r="PFN13" s="16"/>
      <c r="PFO13" s="16"/>
      <c r="PFP13" s="16"/>
      <c r="PFQ13" s="16"/>
      <c r="PFR13" s="16"/>
      <c r="PFS13" s="16"/>
      <c r="PFT13" s="16"/>
      <c r="PFU13" s="16"/>
      <c r="PFV13" s="16"/>
      <c r="PFW13" s="16"/>
      <c r="PFX13" s="16"/>
      <c r="PFY13" s="16"/>
      <c r="PFZ13" s="16"/>
      <c r="PGA13" s="16"/>
      <c r="PGB13" s="16"/>
      <c r="PGC13" s="16"/>
      <c r="PGD13" s="16"/>
      <c r="PGE13" s="16"/>
      <c r="PGF13" s="16"/>
      <c r="PGG13" s="16"/>
      <c r="PGH13" s="16"/>
      <c r="PGI13" s="16"/>
      <c r="PGJ13" s="16"/>
      <c r="PGK13" s="16"/>
      <c r="PGL13" s="16"/>
      <c r="PGM13" s="16"/>
      <c r="PGN13" s="16"/>
      <c r="PGO13" s="16"/>
      <c r="PGP13" s="16"/>
      <c r="PGQ13" s="16"/>
      <c r="PGR13" s="16"/>
      <c r="PGS13" s="16"/>
      <c r="PGT13" s="16"/>
      <c r="PGU13" s="16"/>
      <c r="PGV13" s="16"/>
      <c r="PGW13" s="16"/>
      <c r="PGX13" s="16"/>
      <c r="PGY13" s="16"/>
      <c r="PGZ13" s="16"/>
      <c r="PHA13" s="16"/>
      <c r="PHB13" s="16"/>
      <c r="PHC13" s="16"/>
      <c r="PHD13" s="16"/>
      <c r="PHE13" s="16"/>
      <c r="PHF13" s="16"/>
      <c r="PHG13" s="16"/>
      <c r="PHH13" s="16"/>
      <c r="PHI13" s="16"/>
      <c r="PHJ13" s="16"/>
      <c r="PHK13" s="16"/>
      <c r="PHL13" s="16"/>
      <c r="PHM13" s="16"/>
      <c r="PHN13" s="16"/>
      <c r="PHO13" s="16"/>
      <c r="PHP13" s="16"/>
      <c r="PHQ13" s="16"/>
      <c r="PHR13" s="16"/>
      <c r="PHS13" s="16"/>
      <c r="PHT13" s="16"/>
      <c r="PHU13" s="16"/>
      <c r="PHV13" s="16"/>
      <c r="PHW13" s="16"/>
      <c r="PHX13" s="16"/>
      <c r="PHY13" s="16"/>
      <c r="PHZ13" s="16"/>
      <c r="PIA13" s="16"/>
      <c r="PIB13" s="16"/>
      <c r="PIC13" s="16"/>
      <c r="PID13" s="16"/>
      <c r="PIE13" s="16"/>
      <c r="PIF13" s="16"/>
      <c r="PIG13" s="16"/>
      <c r="PIH13" s="16"/>
      <c r="PII13" s="16"/>
      <c r="PIJ13" s="16"/>
      <c r="PIK13" s="16"/>
      <c r="PIL13" s="16"/>
      <c r="PIM13" s="16"/>
      <c r="PIN13" s="16"/>
      <c r="PIO13" s="16"/>
      <c r="PIP13" s="16"/>
      <c r="PIQ13" s="16"/>
      <c r="PIR13" s="16"/>
      <c r="PIS13" s="16"/>
      <c r="PIT13" s="16"/>
      <c r="PIU13" s="16"/>
      <c r="PIV13" s="16"/>
      <c r="PIW13" s="16"/>
      <c r="PIX13" s="16"/>
      <c r="PIY13" s="16"/>
      <c r="PIZ13" s="16"/>
      <c r="PJA13" s="16"/>
      <c r="PJB13" s="16"/>
      <c r="PJC13" s="16"/>
      <c r="PJD13" s="16"/>
      <c r="PJE13" s="16"/>
      <c r="PJF13" s="16"/>
      <c r="PJG13" s="16"/>
      <c r="PJH13" s="16"/>
      <c r="PJI13" s="16"/>
      <c r="PJJ13" s="16"/>
      <c r="PJK13" s="16"/>
      <c r="PJL13" s="16"/>
      <c r="PJM13" s="16"/>
      <c r="PJN13" s="16"/>
      <c r="PJO13" s="16"/>
      <c r="PJP13" s="16"/>
      <c r="PJQ13" s="16"/>
      <c r="PJR13" s="16"/>
      <c r="PJS13" s="16"/>
      <c r="PJT13" s="16"/>
      <c r="PJU13" s="16"/>
      <c r="PJV13" s="16"/>
      <c r="PJW13" s="16"/>
      <c r="PJX13" s="16"/>
      <c r="PJY13" s="16"/>
      <c r="PJZ13" s="16"/>
      <c r="PKA13" s="16"/>
      <c r="PKB13" s="16"/>
      <c r="PKC13" s="16"/>
      <c r="PKD13" s="16"/>
      <c r="PKE13" s="16"/>
      <c r="PKF13" s="16"/>
      <c r="PKG13" s="16"/>
      <c r="PKH13" s="16"/>
      <c r="PKI13" s="16"/>
      <c r="PKJ13" s="16"/>
      <c r="PKK13" s="16"/>
      <c r="PKL13" s="16"/>
      <c r="PKM13" s="16"/>
      <c r="PKN13" s="16"/>
      <c r="PKO13" s="16"/>
      <c r="PKP13" s="16"/>
      <c r="PKQ13" s="16"/>
      <c r="PKR13" s="16"/>
      <c r="PKS13" s="16"/>
      <c r="PKT13" s="16"/>
      <c r="PKU13" s="16"/>
      <c r="PKV13" s="16"/>
      <c r="PKW13" s="16"/>
      <c r="PKX13" s="16"/>
      <c r="PKY13" s="16"/>
      <c r="PKZ13" s="16"/>
      <c r="PLA13" s="16"/>
      <c r="PLB13" s="16"/>
      <c r="PLC13" s="16"/>
      <c r="PLD13" s="16"/>
      <c r="PLE13" s="16"/>
      <c r="PLF13" s="16"/>
      <c r="PLG13" s="16"/>
      <c r="PLH13" s="16"/>
      <c r="PLI13" s="16"/>
      <c r="PLJ13" s="16"/>
      <c r="PLK13" s="16"/>
      <c r="PLL13" s="16"/>
      <c r="PLM13" s="16"/>
      <c r="PLN13" s="16"/>
      <c r="PLO13" s="16"/>
      <c r="PLP13" s="16"/>
      <c r="PLQ13" s="16"/>
      <c r="PLR13" s="16"/>
      <c r="PLS13" s="16"/>
      <c r="PLT13" s="16"/>
      <c r="PLU13" s="16"/>
      <c r="PLV13" s="16"/>
      <c r="PLW13" s="16"/>
      <c r="PLX13" s="16"/>
      <c r="PLY13" s="16"/>
      <c r="PLZ13" s="16"/>
      <c r="PMA13" s="16"/>
      <c r="PMB13" s="16"/>
      <c r="PMC13" s="16"/>
      <c r="PMD13" s="16"/>
      <c r="PME13" s="16"/>
      <c r="PMF13" s="16"/>
      <c r="PMG13" s="16"/>
      <c r="PMH13" s="16"/>
      <c r="PMI13" s="16"/>
      <c r="PMJ13" s="16"/>
      <c r="PMK13" s="16"/>
      <c r="PML13" s="16"/>
      <c r="PMM13" s="16"/>
      <c r="PMN13" s="16"/>
      <c r="PMO13" s="16"/>
      <c r="PMP13" s="16"/>
      <c r="PMQ13" s="16"/>
      <c r="PMR13" s="16"/>
      <c r="PMS13" s="16"/>
      <c r="PMT13" s="16"/>
      <c r="PMU13" s="16"/>
      <c r="PMV13" s="16"/>
      <c r="PMW13" s="16"/>
      <c r="PMX13" s="16"/>
      <c r="PMY13" s="16"/>
      <c r="PMZ13" s="16"/>
      <c r="PNA13" s="16"/>
      <c r="PNB13" s="16"/>
      <c r="PNC13" s="16"/>
      <c r="PND13" s="16"/>
      <c r="PNE13" s="16"/>
      <c r="PNF13" s="16"/>
      <c r="PNG13" s="16"/>
      <c r="PNH13" s="16"/>
      <c r="PNI13" s="16"/>
      <c r="PNJ13" s="16"/>
      <c r="PNK13" s="16"/>
      <c r="PNL13" s="16"/>
      <c r="PNM13" s="16"/>
      <c r="PNN13" s="16"/>
      <c r="PNO13" s="16"/>
      <c r="PNP13" s="16"/>
      <c r="PNQ13" s="16"/>
      <c r="PNR13" s="16"/>
      <c r="PNS13" s="16"/>
      <c r="PNT13" s="16"/>
      <c r="PNU13" s="16"/>
      <c r="PNV13" s="16"/>
      <c r="PNW13" s="16"/>
      <c r="PNX13" s="16"/>
      <c r="PNY13" s="16"/>
      <c r="PNZ13" s="16"/>
      <c r="POA13" s="16"/>
      <c r="POB13" s="16"/>
      <c r="POC13" s="16"/>
      <c r="POD13" s="16"/>
      <c r="POE13" s="16"/>
      <c r="POF13" s="16"/>
      <c r="POG13" s="16"/>
      <c r="POH13" s="16"/>
      <c r="POI13" s="16"/>
      <c r="POJ13" s="16"/>
      <c r="POK13" s="16"/>
      <c r="POL13" s="16"/>
      <c r="POM13" s="16"/>
      <c r="PON13" s="16"/>
      <c r="POO13" s="16"/>
      <c r="POP13" s="16"/>
      <c r="POQ13" s="16"/>
      <c r="POR13" s="16"/>
      <c r="POS13" s="16"/>
      <c r="POT13" s="16"/>
      <c r="POU13" s="16"/>
      <c r="POV13" s="16"/>
      <c r="POW13" s="16"/>
      <c r="POX13" s="16"/>
      <c r="POY13" s="16"/>
      <c r="POZ13" s="16"/>
      <c r="PPA13" s="16"/>
      <c r="PPB13" s="16"/>
      <c r="PPC13" s="16"/>
      <c r="PPD13" s="16"/>
      <c r="PPE13" s="16"/>
      <c r="PPF13" s="16"/>
      <c r="PPG13" s="16"/>
      <c r="PPH13" s="16"/>
      <c r="PPI13" s="16"/>
      <c r="PPJ13" s="16"/>
      <c r="PPK13" s="16"/>
      <c r="PPL13" s="16"/>
      <c r="PPM13" s="16"/>
      <c r="PPN13" s="16"/>
      <c r="PPO13" s="16"/>
      <c r="PPP13" s="16"/>
      <c r="PPQ13" s="16"/>
      <c r="PPR13" s="16"/>
      <c r="PPS13" s="16"/>
      <c r="PPT13" s="16"/>
      <c r="PPU13" s="16"/>
      <c r="PPV13" s="16"/>
      <c r="PPW13" s="16"/>
      <c r="PPX13" s="16"/>
      <c r="PPY13" s="16"/>
      <c r="PPZ13" s="16"/>
      <c r="PQA13" s="16"/>
      <c r="PQB13" s="16"/>
      <c r="PQC13" s="16"/>
      <c r="PQD13" s="16"/>
      <c r="PQE13" s="16"/>
      <c r="PQF13" s="16"/>
      <c r="PQG13" s="16"/>
      <c r="PQH13" s="16"/>
      <c r="PQI13" s="16"/>
      <c r="PQJ13" s="16"/>
      <c r="PQK13" s="16"/>
      <c r="PQL13" s="16"/>
      <c r="PQM13" s="16"/>
      <c r="PQN13" s="16"/>
      <c r="PQO13" s="16"/>
      <c r="PQP13" s="16"/>
      <c r="PQQ13" s="16"/>
      <c r="PQR13" s="16"/>
      <c r="PQS13" s="16"/>
      <c r="PQT13" s="16"/>
      <c r="PQU13" s="16"/>
      <c r="PQV13" s="16"/>
      <c r="PQW13" s="16"/>
      <c r="PQX13" s="16"/>
      <c r="PQY13" s="16"/>
      <c r="PQZ13" s="16"/>
      <c r="PRA13" s="16"/>
      <c r="PRB13" s="16"/>
      <c r="PRC13" s="16"/>
      <c r="PRD13" s="16"/>
      <c r="PRE13" s="16"/>
      <c r="PRF13" s="16"/>
      <c r="PRG13" s="16"/>
      <c r="PRH13" s="16"/>
      <c r="PRI13" s="16"/>
      <c r="PRJ13" s="16"/>
      <c r="PRK13" s="16"/>
      <c r="PRL13" s="16"/>
      <c r="PRM13" s="16"/>
      <c r="PRN13" s="16"/>
      <c r="PRO13" s="16"/>
      <c r="PRP13" s="16"/>
      <c r="PRQ13" s="16"/>
      <c r="PRR13" s="16"/>
      <c r="PRS13" s="16"/>
      <c r="PRT13" s="16"/>
      <c r="PRU13" s="16"/>
      <c r="PRV13" s="16"/>
      <c r="PRW13" s="16"/>
      <c r="PRX13" s="16"/>
      <c r="PRY13" s="16"/>
      <c r="PRZ13" s="16"/>
      <c r="PSA13" s="16"/>
      <c r="PSB13" s="16"/>
      <c r="PSC13" s="16"/>
      <c r="PSD13" s="16"/>
      <c r="PSE13" s="16"/>
      <c r="PSF13" s="16"/>
      <c r="PSG13" s="16"/>
      <c r="PSH13" s="16"/>
      <c r="PSI13" s="16"/>
      <c r="PSJ13" s="16"/>
      <c r="PSK13" s="16"/>
      <c r="PSL13" s="16"/>
      <c r="PSM13" s="16"/>
      <c r="PSN13" s="16"/>
      <c r="PSO13" s="16"/>
      <c r="PSP13" s="16"/>
      <c r="PSQ13" s="16"/>
      <c r="PSR13" s="16"/>
      <c r="PSS13" s="16"/>
      <c r="PST13" s="16"/>
      <c r="PSU13" s="16"/>
      <c r="PSV13" s="16"/>
      <c r="PSW13" s="16"/>
      <c r="PSX13" s="16"/>
      <c r="PSY13" s="16"/>
      <c r="PSZ13" s="16"/>
      <c r="PTA13" s="16"/>
      <c r="PTB13" s="16"/>
      <c r="PTC13" s="16"/>
      <c r="PTD13" s="16"/>
      <c r="PTE13" s="16"/>
      <c r="PTF13" s="16"/>
      <c r="PTG13" s="16"/>
      <c r="PTH13" s="16"/>
      <c r="PTI13" s="16"/>
      <c r="PTJ13" s="16"/>
      <c r="PTK13" s="16"/>
      <c r="PTL13" s="16"/>
      <c r="PTM13" s="16"/>
      <c r="PTN13" s="16"/>
      <c r="PTO13" s="16"/>
      <c r="PTP13" s="16"/>
      <c r="PTQ13" s="16"/>
      <c r="PTR13" s="16"/>
      <c r="PTS13" s="16"/>
      <c r="PTT13" s="16"/>
      <c r="PTU13" s="16"/>
      <c r="PTV13" s="16"/>
      <c r="PTW13" s="16"/>
      <c r="PTX13" s="16"/>
      <c r="PTY13" s="16"/>
      <c r="PTZ13" s="16"/>
      <c r="PUA13" s="16"/>
      <c r="PUB13" s="16"/>
      <c r="PUC13" s="16"/>
      <c r="PUD13" s="16"/>
      <c r="PUE13" s="16"/>
      <c r="PUF13" s="16"/>
      <c r="PUG13" s="16"/>
      <c r="PUH13" s="16"/>
      <c r="PUI13" s="16"/>
      <c r="PUJ13" s="16"/>
      <c r="PUK13" s="16"/>
      <c r="PUL13" s="16"/>
      <c r="PUM13" s="16"/>
      <c r="PUN13" s="16"/>
      <c r="PUO13" s="16"/>
      <c r="PUP13" s="16"/>
      <c r="PUQ13" s="16"/>
      <c r="PUR13" s="16"/>
      <c r="PUS13" s="16"/>
      <c r="PUT13" s="16"/>
      <c r="PUU13" s="16"/>
      <c r="PUV13" s="16"/>
      <c r="PUW13" s="16"/>
      <c r="PUX13" s="16"/>
      <c r="PUY13" s="16"/>
      <c r="PUZ13" s="16"/>
      <c r="PVA13" s="16"/>
      <c r="PVB13" s="16"/>
      <c r="PVC13" s="16"/>
      <c r="PVD13" s="16"/>
      <c r="PVE13" s="16"/>
      <c r="PVF13" s="16"/>
      <c r="PVG13" s="16"/>
      <c r="PVH13" s="16"/>
      <c r="PVI13" s="16"/>
      <c r="PVJ13" s="16"/>
      <c r="PVK13" s="16"/>
      <c r="PVL13" s="16"/>
      <c r="PVM13" s="16"/>
      <c r="PVN13" s="16"/>
      <c r="PVO13" s="16"/>
      <c r="PVP13" s="16"/>
      <c r="PVQ13" s="16"/>
      <c r="PVR13" s="16"/>
      <c r="PVS13" s="16"/>
      <c r="PVT13" s="16"/>
      <c r="PVU13" s="16"/>
      <c r="PVV13" s="16"/>
      <c r="PVW13" s="16"/>
      <c r="PVX13" s="16"/>
      <c r="PVY13" s="16"/>
      <c r="PVZ13" s="16"/>
      <c r="PWA13" s="16"/>
      <c r="PWB13" s="16"/>
      <c r="PWC13" s="16"/>
      <c r="PWD13" s="16"/>
      <c r="PWE13" s="16"/>
      <c r="PWF13" s="16"/>
      <c r="PWG13" s="16"/>
      <c r="PWH13" s="16"/>
      <c r="PWI13" s="16"/>
      <c r="PWJ13" s="16"/>
      <c r="PWK13" s="16"/>
      <c r="PWL13" s="16"/>
      <c r="PWM13" s="16"/>
      <c r="PWN13" s="16"/>
      <c r="PWO13" s="16"/>
      <c r="PWP13" s="16"/>
      <c r="PWQ13" s="16"/>
      <c r="PWR13" s="16"/>
      <c r="PWS13" s="16"/>
      <c r="PWT13" s="16"/>
      <c r="PWU13" s="16"/>
      <c r="PWV13" s="16"/>
      <c r="PWW13" s="16"/>
      <c r="PWX13" s="16"/>
      <c r="PWY13" s="16"/>
      <c r="PWZ13" s="16"/>
      <c r="PXA13" s="16"/>
      <c r="PXB13" s="16"/>
      <c r="PXC13" s="16"/>
      <c r="PXD13" s="16"/>
      <c r="PXE13" s="16"/>
      <c r="PXF13" s="16"/>
      <c r="PXG13" s="16"/>
      <c r="PXH13" s="16"/>
      <c r="PXI13" s="16"/>
      <c r="PXJ13" s="16"/>
      <c r="PXK13" s="16"/>
      <c r="PXL13" s="16"/>
      <c r="PXM13" s="16"/>
      <c r="PXN13" s="16"/>
      <c r="PXO13" s="16"/>
      <c r="PXP13" s="16"/>
      <c r="PXQ13" s="16"/>
      <c r="PXR13" s="16"/>
      <c r="PXS13" s="16"/>
      <c r="PXT13" s="16"/>
      <c r="PXU13" s="16"/>
      <c r="PXV13" s="16"/>
      <c r="PXW13" s="16"/>
      <c r="PXX13" s="16"/>
      <c r="PXY13" s="16"/>
      <c r="PXZ13" s="16"/>
      <c r="PYA13" s="16"/>
      <c r="PYB13" s="16"/>
      <c r="PYC13" s="16"/>
      <c r="PYD13" s="16"/>
      <c r="PYE13" s="16"/>
      <c r="PYF13" s="16"/>
      <c r="PYG13" s="16"/>
      <c r="PYH13" s="16"/>
      <c r="PYI13" s="16"/>
      <c r="PYJ13" s="16"/>
      <c r="PYK13" s="16"/>
      <c r="PYL13" s="16"/>
      <c r="PYM13" s="16"/>
      <c r="PYN13" s="16"/>
      <c r="PYO13" s="16"/>
      <c r="PYP13" s="16"/>
      <c r="PYQ13" s="16"/>
      <c r="PYR13" s="16"/>
      <c r="PYS13" s="16"/>
      <c r="PYT13" s="16"/>
      <c r="PYU13" s="16"/>
      <c r="PYV13" s="16"/>
      <c r="PYW13" s="16"/>
      <c r="PYX13" s="16"/>
      <c r="PYY13" s="16"/>
      <c r="PYZ13" s="16"/>
      <c r="PZA13" s="16"/>
      <c r="PZB13" s="16"/>
      <c r="PZC13" s="16"/>
      <c r="PZD13" s="16"/>
      <c r="PZE13" s="16"/>
      <c r="PZF13" s="16"/>
      <c r="PZG13" s="16"/>
      <c r="PZH13" s="16"/>
      <c r="PZI13" s="16"/>
      <c r="PZJ13" s="16"/>
      <c r="PZK13" s="16"/>
      <c r="PZL13" s="16"/>
      <c r="PZM13" s="16"/>
      <c r="PZN13" s="16"/>
      <c r="PZO13" s="16"/>
      <c r="PZP13" s="16"/>
      <c r="PZQ13" s="16"/>
      <c r="PZR13" s="16"/>
      <c r="PZS13" s="16"/>
      <c r="PZT13" s="16"/>
      <c r="PZU13" s="16"/>
      <c r="PZV13" s="16"/>
      <c r="PZW13" s="16"/>
      <c r="PZX13" s="16"/>
      <c r="PZY13" s="16"/>
      <c r="PZZ13" s="16"/>
      <c r="QAA13" s="16"/>
      <c r="QAB13" s="16"/>
      <c r="QAC13" s="16"/>
      <c r="QAD13" s="16"/>
      <c r="QAE13" s="16"/>
      <c r="QAF13" s="16"/>
      <c r="QAG13" s="16"/>
      <c r="QAH13" s="16"/>
      <c r="QAI13" s="16"/>
      <c r="QAJ13" s="16"/>
      <c r="QAK13" s="16"/>
      <c r="QAL13" s="16"/>
      <c r="QAM13" s="16"/>
      <c r="QAN13" s="16"/>
      <c r="QAO13" s="16"/>
      <c r="QAP13" s="16"/>
      <c r="QAQ13" s="16"/>
      <c r="QAR13" s="16"/>
      <c r="QAS13" s="16"/>
      <c r="QAT13" s="16"/>
      <c r="QAU13" s="16"/>
      <c r="QAV13" s="16"/>
      <c r="QAW13" s="16"/>
      <c r="QAX13" s="16"/>
      <c r="QAY13" s="16"/>
      <c r="QAZ13" s="16"/>
      <c r="QBA13" s="16"/>
      <c r="QBB13" s="16"/>
      <c r="QBC13" s="16"/>
      <c r="QBD13" s="16"/>
      <c r="QBE13" s="16"/>
      <c r="QBF13" s="16"/>
      <c r="QBG13" s="16"/>
      <c r="QBH13" s="16"/>
      <c r="QBI13" s="16"/>
      <c r="QBJ13" s="16"/>
      <c r="QBK13" s="16"/>
      <c r="QBL13" s="16"/>
      <c r="QBM13" s="16"/>
      <c r="QBN13" s="16"/>
      <c r="QBO13" s="16"/>
      <c r="QBP13" s="16"/>
      <c r="QBQ13" s="16"/>
      <c r="QBR13" s="16"/>
      <c r="QBS13" s="16"/>
      <c r="QBT13" s="16"/>
      <c r="QBU13" s="16"/>
      <c r="QBV13" s="16"/>
      <c r="QBW13" s="16"/>
      <c r="QBX13" s="16"/>
      <c r="QBY13" s="16"/>
      <c r="QBZ13" s="16"/>
      <c r="QCA13" s="16"/>
      <c r="QCB13" s="16"/>
      <c r="QCC13" s="16"/>
      <c r="QCD13" s="16"/>
      <c r="QCE13" s="16"/>
      <c r="QCF13" s="16"/>
      <c r="QCG13" s="16"/>
      <c r="QCH13" s="16"/>
      <c r="QCI13" s="16"/>
      <c r="QCJ13" s="16"/>
      <c r="QCK13" s="16"/>
      <c r="QCL13" s="16"/>
      <c r="QCM13" s="16"/>
      <c r="QCN13" s="16"/>
      <c r="QCO13" s="16"/>
      <c r="QCP13" s="16"/>
      <c r="QCQ13" s="16"/>
      <c r="QCR13" s="16"/>
      <c r="QCS13" s="16"/>
      <c r="QCT13" s="16"/>
      <c r="QCU13" s="16"/>
      <c r="QCV13" s="16"/>
      <c r="QCW13" s="16"/>
      <c r="QCX13" s="16"/>
      <c r="QCY13" s="16"/>
      <c r="QCZ13" s="16"/>
      <c r="QDA13" s="16"/>
      <c r="QDB13" s="16"/>
      <c r="QDC13" s="16"/>
      <c r="QDD13" s="16"/>
      <c r="QDE13" s="16"/>
      <c r="QDF13" s="16"/>
      <c r="QDG13" s="16"/>
      <c r="QDH13" s="16"/>
      <c r="QDI13" s="16"/>
      <c r="QDJ13" s="16"/>
      <c r="QDK13" s="16"/>
      <c r="QDL13" s="16"/>
      <c r="QDM13" s="16"/>
      <c r="QDN13" s="16"/>
      <c r="QDO13" s="16"/>
      <c r="QDP13" s="16"/>
      <c r="QDQ13" s="16"/>
      <c r="QDR13" s="16"/>
      <c r="QDS13" s="16"/>
      <c r="QDT13" s="16"/>
      <c r="QDU13" s="16"/>
      <c r="QDV13" s="16"/>
      <c r="QDW13" s="16"/>
      <c r="QDX13" s="16"/>
      <c r="QDY13" s="16"/>
      <c r="QDZ13" s="16"/>
      <c r="QEA13" s="16"/>
      <c r="QEB13" s="16"/>
      <c r="QEC13" s="16"/>
      <c r="QED13" s="16"/>
      <c r="QEE13" s="16"/>
      <c r="QEF13" s="16"/>
      <c r="QEG13" s="16"/>
      <c r="QEH13" s="16"/>
      <c r="QEI13" s="16"/>
      <c r="QEJ13" s="16"/>
      <c r="QEK13" s="16"/>
      <c r="QEL13" s="16"/>
      <c r="QEM13" s="16"/>
      <c r="QEN13" s="16"/>
      <c r="QEO13" s="16"/>
      <c r="QEP13" s="16"/>
      <c r="QEQ13" s="16"/>
      <c r="QER13" s="16"/>
      <c r="QES13" s="16"/>
      <c r="QET13" s="16"/>
      <c r="QEU13" s="16"/>
      <c r="QEV13" s="16"/>
      <c r="QEW13" s="16"/>
      <c r="QEX13" s="16"/>
      <c r="QEY13" s="16"/>
      <c r="QEZ13" s="16"/>
      <c r="QFA13" s="16"/>
      <c r="QFB13" s="16"/>
      <c r="QFC13" s="16"/>
      <c r="QFD13" s="16"/>
      <c r="QFE13" s="16"/>
      <c r="QFF13" s="16"/>
      <c r="QFG13" s="16"/>
      <c r="QFH13" s="16"/>
      <c r="QFI13" s="16"/>
      <c r="QFJ13" s="16"/>
      <c r="QFK13" s="16"/>
      <c r="QFL13" s="16"/>
      <c r="QFM13" s="16"/>
      <c r="QFN13" s="16"/>
      <c r="QFO13" s="16"/>
      <c r="QFP13" s="16"/>
      <c r="QFQ13" s="16"/>
      <c r="QFR13" s="16"/>
      <c r="QFS13" s="16"/>
      <c r="QFT13" s="16"/>
      <c r="QFU13" s="16"/>
      <c r="QFV13" s="16"/>
      <c r="QFW13" s="16"/>
      <c r="QFX13" s="16"/>
      <c r="QFY13" s="16"/>
      <c r="QFZ13" s="16"/>
      <c r="QGA13" s="16"/>
      <c r="QGB13" s="16"/>
      <c r="QGC13" s="16"/>
      <c r="QGD13" s="16"/>
      <c r="QGE13" s="16"/>
      <c r="QGF13" s="16"/>
      <c r="QGG13" s="16"/>
      <c r="QGH13" s="16"/>
      <c r="QGI13" s="16"/>
      <c r="QGJ13" s="16"/>
      <c r="QGK13" s="16"/>
      <c r="QGL13" s="16"/>
      <c r="QGM13" s="16"/>
      <c r="QGN13" s="16"/>
      <c r="QGO13" s="16"/>
      <c r="QGP13" s="16"/>
      <c r="QGQ13" s="16"/>
      <c r="QGR13" s="16"/>
      <c r="QGS13" s="16"/>
      <c r="QGT13" s="16"/>
      <c r="QGU13" s="16"/>
      <c r="QGV13" s="16"/>
      <c r="QGW13" s="16"/>
      <c r="QGX13" s="16"/>
      <c r="QGY13" s="16"/>
      <c r="QGZ13" s="16"/>
      <c r="QHA13" s="16"/>
      <c r="QHB13" s="16"/>
      <c r="QHC13" s="16"/>
      <c r="QHD13" s="16"/>
      <c r="QHE13" s="16"/>
      <c r="QHF13" s="16"/>
      <c r="QHG13" s="16"/>
      <c r="QHH13" s="16"/>
      <c r="QHI13" s="16"/>
      <c r="QHJ13" s="16"/>
      <c r="QHK13" s="16"/>
      <c r="QHL13" s="16"/>
      <c r="QHM13" s="16"/>
      <c r="QHN13" s="16"/>
      <c r="QHO13" s="16"/>
      <c r="QHP13" s="16"/>
      <c r="QHQ13" s="16"/>
      <c r="QHR13" s="16"/>
      <c r="QHS13" s="16"/>
      <c r="QHT13" s="16"/>
      <c r="QHU13" s="16"/>
      <c r="QHV13" s="16"/>
      <c r="QHW13" s="16"/>
      <c r="QHX13" s="16"/>
      <c r="QHY13" s="16"/>
      <c r="QHZ13" s="16"/>
      <c r="QIA13" s="16"/>
      <c r="QIB13" s="16"/>
      <c r="QIC13" s="16"/>
      <c r="QID13" s="16"/>
      <c r="QIE13" s="16"/>
      <c r="QIF13" s="16"/>
      <c r="QIG13" s="16"/>
      <c r="QIH13" s="16"/>
      <c r="QII13" s="16"/>
      <c r="QIJ13" s="16"/>
      <c r="QIK13" s="16"/>
      <c r="QIL13" s="16"/>
      <c r="QIM13" s="16"/>
      <c r="QIN13" s="16"/>
      <c r="QIO13" s="16"/>
      <c r="QIP13" s="16"/>
      <c r="QIQ13" s="16"/>
      <c r="QIR13" s="16"/>
      <c r="QIS13" s="16"/>
      <c r="QIT13" s="16"/>
      <c r="QIU13" s="16"/>
      <c r="QIV13" s="16"/>
      <c r="QIW13" s="16"/>
      <c r="QIX13" s="16"/>
      <c r="QIY13" s="16"/>
      <c r="QIZ13" s="16"/>
      <c r="QJA13" s="16"/>
      <c r="QJB13" s="16"/>
      <c r="QJC13" s="16"/>
      <c r="QJD13" s="16"/>
      <c r="QJE13" s="16"/>
      <c r="QJF13" s="16"/>
      <c r="QJG13" s="16"/>
      <c r="QJH13" s="16"/>
      <c r="QJI13" s="16"/>
      <c r="QJJ13" s="16"/>
      <c r="QJK13" s="16"/>
      <c r="QJL13" s="16"/>
      <c r="QJM13" s="16"/>
      <c r="QJN13" s="16"/>
      <c r="QJO13" s="16"/>
      <c r="QJP13" s="16"/>
      <c r="QJQ13" s="16"/>
      <c r="QJR13" s="16"/>
      <c r="QJS13" s="16"/>
      <c r="QJT13" s="16"/>
      <c r="QJU13" s="16"/>
      <c r="QJV13" s="16"/>
      <c r="QJW13" s="16"/>
      <c r="QJX13" s="16"/>
      <c r="QJY13" s="16"/>
      <c r="QJZ13" s="16"/>
      <c r="QKA13" s="16"/>
      <c r="QKB13" s="16"/>
      <c r="QKC13" s="16"/>
      <c r="QKD13" s="16"/>
      <c r="QKE13" s="16"/>
      <c r="QKF13" s="16"/>
      <c r="QKG13" s="16"/>
      <c r="QKH13" s="16"/>
      <c r="QKI13" s="16"/>
      <c r="QKJ13" s="16"/>
      <c r="QKK13" s="16"/>
      <c r="QKL13" s="16"/>
      <c r="QKM13" s="16"/>
      <c r="QKN13" s="16"/>
      <c r="QKO13" s="16"/>
      <c r="QKP13" s="16"/>
      <c r="QKQ13" s="16"/>
      <c r="QKR13" s="16"/>
      <c r="QKS13" s="16"/>
      <c r="QKT13" s="16"/>
      <c r="QKU13" s="16"/>
      <c r="QKV13" s="16"/>
      <c r="QKW13" s="16"/>
      <c r="QKX13" s="16"/>
      <c r="QKY13" s="16"/>
      <c r="QKZ13" s="16"/>
      <c r="QLA13" s="16"/>
      <c r="QLB13" s="16"/>
      <c r="QLC13" s="16"/>
      <c r="QLD13" s="16"/>
      <c r="QLE13" s="16"/>
      <c r="QLF13" s="16"/>
      <c r="QLG13" s="16"/>
      <c r="QLH13" s="16"/>
      <c r="QLI13" s="16"/>
      <c r="QLJ13" s="16"/>
      <c r="QLK13" s="16"/>
      <c r="QLL13" s="16"/>
      <c r="QLM13" s="16"/>
      <c r="QLN13" s="16"/>
      <c r="QLO13" s="16"/>
      <c r="QLP13" s="16"/>
      <c r="QLQ13" s="16"/>
      <c r="QLR13" s="16"/>
      <c r="QLS13" s="16"/>
      <c r="QLT13" s="16"/>
      <c r="QLU13" s="16"/>
      <c r="QLV13" s="16"/>
      <c r="QLW13" s="16"/>
      <c r="QLX13" s="16"/>
      <c r="QLY13" s="16"/>
      <c r="QLZ13" s="16"/>
      <c r="QMA13" s="16"/>
      <c r="QMB13" s="16"/>
      <c r="QMC13" s="16"/>
      <c r="QMD13" s="16"/>
      <c r="QME13" s="16"/>
      <c r="QMF13" s="16"/>
      <c r="QMG13" s="16"/>
      <c r="QMH13" s="16"/>
      <c r="QMI13" s="16"/>
      <c r="QMJ13" s="16"/>
      <c r="QMK13" s="16"/>
      <c r="QML13" s="16"/>
      <c r="QMM13" s="16"/>
      <c r="QMN13" s="16"/>
      <c r="QMO13" s="16"/>
      <c r="QMP13" s="16"/>
      <c r="QMQ13" s="16"/>
      <c r="QMR13" s="16"/>
      <c r="QMS13" s="16"/>
      <c r="QMT13" s="16"/>
      <c r="QMU13" s="16"/>
      <c r="QMV13" s="16"/>
      <c r="QMW13" s="16"/>
      <c r="QMX13" s="16"/>
      <c r="QMY13" s="16"/>
      <c r="QMZ13" s="16"/>
      <c r="QNA13" s="16"/>
      <c r="QNB13" s="16"/>
      <c r="QNC13" s="16"/>
      <c r="QND13" s="16"/>
      <c r="QNE13" s="16"/>
      <c r="QNF13" s="16"/>
      <c r="QNG13" s="16"/>
      <c r="QNH13" s="16"/>
      <c r="QNI13" s="16"/>
      <c r="QNJ13" s="16"/>
      <c r="QNK13" s="16"/>
      <c r="QNL13" s="16"/>
      <c r="QNM13" s="16"/>
      <c r="QNN13" s="16"/>
      <c r="QNO13" s="16"/>
      <c r="QNP13" s="16"/>
      <c r="QNQ13" s="16"/>
      <c r="QNR13" s="16"/>
      <c r="QNS13" s="16"/>
      <c r="QNT13" s="16"/>
      <c r="QNU13" s="16"/>
      <c r="QNV13" s="16"/>
      <c r="QNW13" s="16"/>
      <c r="QNX13" s="16"/>
      <c r="QNY13" s="16"/>
      <c r="QNZ13" s="16"/>
      <c r="QOA13" s="16"/>
      <c r="QOB13" s="16"/>
      <c r="QOC13" s="16"/>
      <c r="QOD13" s="16"/>
      <c r="QOE13" s="16"/>
      <c r="QOF13" s="16"/>
      <c r="QOG13" s="16"/>
      <c r="QOH13" s="16"/>
      <c r="QOI13" s="16"/>
      <c r="QOJ13" s="16"/>
      <c r="QOK13" s="16"/>
      <c r="QOL13" s="16"/>
      <c r="QOM13" s="16"/>
      <c r="QON13" s="16"/>
      <c r="QOO13" s="16"/>
      <c r="QOP13" s="16"/>
      <c r="QOQ13" s="16"/>
      <c r="QOR13" s="16"/>
      <c r="QOS13" s="16"/>
      <c r="QOT13" s="16"/>
      <c r="QOU13" s="16"/>
      <c r="QOV13" s="16"/>
      <c r="QOW13" s="16"/>
      <c r="QOX13" s="16"/>
      <c r="QOY13" s="16"/>
      <c r="QOZ13" s="16"/>
      <c r="QPA13" s="16"/>
      <c r="QPB13" s="16"/>
      <c r="QPC13" s="16"/>
      <c r="QPD13" s="16"/>
      <c r="QPE13" s="16"/>
      <c r="QPF13" s="16"/>
      <c r="QPG13" s="16"/>
      <c r="QPH13" s="16"/>
      <c r="QPI13" s="16"/>
      <c r="QPJ13" s="16"/>
      <c r="QPK13" s="16"/>
      <c r="QPL13" s="16"/>
      <c r="QPM13" s="16"/>
      <c r="QPN13" s="16"/>
      <c r="QPO13" s="16"/>
      <c r="QPP13" s="16"/>
      <c r="QPQ13" s="16"/>
      <c r="QPR13" s="16"/>
      <c r="QPS13" s="16"/>
      <c r="QPT13" s="16"/>
      <c r="QPU13" s="16"/>
      <c r="QPV13" s="16"/>
      <c r="QPW13" s="16"/>
      <c r="QPX13" s="16"/>
      <c r="QPY13" s="16"/>
      <c r="QPZ13" s="16"/>
      <c r="QQA13" s="16"/>
      <c r="QQB13" s="16"/>
      <c r="QQC13" s="16"/>
      <c r="QQD13" s="16"/>
      <c r="QQE13" s="16"/>
      <c r="QQF13" s="16"/>
      <c r="QQG13" s="16"/>
      <c r="QQH13" s="16"/>
      <c r="QQI13" s="16"/>
      <c r="QQJ13" s="16"/>
      <c r="QQK13" s="16"/>
      <c r="QQL13" s="16"/>
      <c r="QQM13" s="16"/>
      <c r="QQN13" s="16"/>
      <c r="QQO13" s="16"/>
      <c r="QQP13" s="16"/>
      <c r="QQQ13" s="16"/>
      <c r="QQR13" s="16"/>
      <c r="QQS13" s="16"/>
      <c r="QQT13" s="16"/>
      <c r="QQU13" s="16"/>
      <c r="QQV13" s="16"/>
      <c r="QQW13" s="16"/>
      <c r="QQX13" s="16"/>
      <c r="QQY13" s="16"/>
      <c r="QQZ13" s="16"/>
      <c r="QRA13" s="16"/>
      <c r="QRB13" s="16"/>
      <c r="QRC13" s="16"/>
      <c r="QRD13" s="16"/>
      <c r="QRE13" s="16"/>
      <c r="QRF13" s="16"/>
      <c r="QRG13" s="16"/>
      <c r="QRH13" s="16"/>
      <c r="QRI13" s="16"/>
      <c r="QRJ13" s="16"/>
      <c r="QRK13" s="16"/>
      <c r="QRL13" s="16"/>
      <c r="QRM13" s="16"/>
      <c r="QRN13" s="16"/>
      <c r="QRO13" s="16"/>
      <c r="QRP13" s="16"/>
      <c r="QRQ13" s="16"/>
      <c r="QRR13" s="16"/>
      <c r="QRS13" s="16"/>
      <c r="QRT13" s="16"/>
      <c r="QRU13" s="16"/>
      <c r="QRV13" s="16"/>
      <c r="QRW13" s="16"/>
      <c r="QRX13" s="16"/>
      <c r="QRY13" s="16"/>
      <c r="QRZ13" s="16"/>
      <c r="QSA13" s="16"/>
      <c r="QSB13" s="16"/>
      <c r="QSC13" s="16"/>
      <c r="QSD13" s="16"/>
      <c r="QSE13" s="16"/>
      <c r="QSF13" s="16"/>
      <c r="QSG13" s="16"/>
      <c r="QSH13" s="16"/>
      <c r="QSI13" s="16"/>
      <c r="QSJ13" s="16"/>
      <c r="QSK13" s="16"/>
      <c r="QSL13" s="16"/>
      <c r="QSM13" s="16"/>
      <c r="QSN13" s="16"/>
      <c r="QSO13" s="16"/>
      <c r="QSP13" s="16"/>
      <c r="QSQ13" s="16"/>
      <c r="QSR13" s="16"/>
      <c r="QSS13" s="16"/>
      <c r="QST13" s="16"/>
      <c r="QSU13" s="16"/>
      <c r="QSV13" s="16"/>
      <c r="QSW13" s="16"/>
      <c r="QSX13" s="16"/>
      <c r="QSY13" s="16"/>
      <c r="QSZ13" s="16"/>
      <c r="QTA13" s="16"/>
      <c r="QTB13" s="16"/>
      <c r="QTC13" s="16"/>
      <c r="QTD13" s="16"/>
      <c r="QTE13" s="16"/>
      <c r="QTF13" s="16"/>
      <c r="QTG13" s="16"/>
      <c r="QTH13" s="16"/>
      <c r="QTI13" s="16"/>
      <c r="QTJ13" s="16"/>
      <c r="QTK13" s="16"/>
      <c r="QTL13" s="16"/>
      <c r="QTM13" s="16"/>
      <c r="QTN13" s="16"/>
      <c r="QTO13" s="16"/>
      <c r="QTP13" s="16"/>
      <c r="QTQ13" s="16"/>
      <c r="QTR13" s="16"/>
      <c r="QTS13" s="16"/>
      <c r="QTT13" s="16"/>
      <c r="QTU13" s="16"/>
      <c r="QTV13" s="16"/>
      <c r="QTW13" s="16"/>
      <c r="QTX13" s="16"/>
      <c r="QTY13" s="16"/>
      <c r="QTZ13" s="16"/>
      <c r="QUA13" s="16"/>
      <c r="QUB13" s="16"/>
      <c r="QUC13" s="16"/>
      <c r="QUD13" s="16"/>
      <c r="QUE13" s="16"/>
      <c r="QUF13" s="16"/>
      <c r="QUG13" s="16"/>
      <c r="QUH13" s="16"/>
      <c r="QUI13" s="16"/>
      <c r="QUJ13" s="16"/>
      <c r="QUK13" s="16"/>
      <c r="QUL13" s="16"/>
      <c r="QUM13" s="16"/>
      <c r="QUN13" s="16"/>
      <c r="QUO13" s="16"/>
      <c r="QUP13" s="16"/>
      <c r="QUQ13" s="16"/>
      <c r="QUR13" s="16"/>
      <c r="QUS13" s="16"/>
      <c r="QUT13" s="16"/>
      <c r="QUU13" s="16"/>
      <c r="QUV13" s="16"/>
      <c r="QUW13" s="16"/>
      <c r="QUX13" s="16"/>
      <c r="QUY13" s="16"/>
      <c r="QUZ13" s="16"/>
      <c r="QVA13" s="16"/>
      <c r="QVB13" s="16"/>
      <c r="QVC13" s="16"/>
      <c r="QVD13" s="16"/>
      <c r="QVE13" s="16"/>
      <c r="QVF13" s="16"/>
      <c r="QVG13" s="16"/>
      <c r="QVH13" s="16"/>
      <c r="QVI13" s="16"/>
      <c r="QVJ13" s="16"/>
      <c r="QVK13" s="16"/>
      <c r="QVL13" s="16"/>
      <c r="QVM13" s="16"/>
      <c r="QVN13" s="16"/>
      <c r="QVO13" s="16"/>
      <c r="QVP13" s="16"/>
      <c r="QVQ13" s="16"/>
      <c r="QVR13" s="16"/>
      <c r="QVS13" s="16"/>
      <c r="QVT13" s="16"/>
      <c r="QVU13" s="16"/>
      <c r="QVV13" s="16"/>
      <c r="QVW13" s="16"/>
      <c r="QVX13" s="16"/>
      <c r="QVY13" s="16"/>
      <c r="QVZ13" s="16"/>
      <c r="QWA13" s="16"/>
      <c r="QWB13" s="16"/>
      <c r="QWC13" s="16"/>
      <c r="QWD13" s="16"/>
      <c r="QWE13" s="16"/>
      <c r="QWF13" s="16"/>
      <c r="QWG13" s="16"/>
      <c r="QWH13" s="16"/>
      <c r="QWI13" s="16"/>
      <c r="QWJ13" s="16"/>
      <c r="QWK13" s="16"/>
      <c r="QWL13" s="16"/>
      <c r="QWM13" s="16"/>
      <c r="QWN13" s="16"/>
      <c r="QWO13" s="16"/>
      <c r="QWP13" s="16"/>
      <c r="QWQ13" s="16"/>
      <c r="QWR13" s="16"/>
      <c r="QWS13" s="16"/>
      <c r="QWT13" s="16"/>
      <c r="QWU13" s="16"/>
      <c r="QWV13" s="16"/>
      <c r="QWW13" s="16"/>
      <c r="QWX13" s="16"/>
      <c r="QWY13" s="16"/>
      <c r="QWZ13" s="16"/>
      <c r="QXA13" s="16"/>
      <c r="QXB13" s="16"/>
      <c r="QXC13" s="16"/>
      <c r="QXD13" s="16"/>
      <c r="QXE13" s="16"/>
      <c r="QXF13" s="16"/>
      <c r="QXG13" s="16"/>
      <c r="QXH13" s="16"/>
      <c r="QXI13" s="16"/>
      <c r="QXJ13" s="16"/>
      <c r="QXK13" s="16"/>
      <c r="QXL13" s="16"/>
      <c r="QXM13" s="16"/>
      <c r="QXN13" s="16"/>
      <c r="QXO13" s="16"/>
      <c r="QXP13" s="16"/>
      <c r="QXQ13" s="16"/>
      <c r="QXR13" s="16"/>
      <c r="QXS13" s="16"/>
      <c r="QXT13" s="16"/>
      <c r="QXU13" s="16"/>
      <c r="QXV13" s="16"/>
      <c r="QXW13" s="16"/>
      <c r="QXX13" s="16"/>
      <c r="QXY13" s="16"/>
      <c r="QXZ13" s="16"/>
      <c r="QYA13" s="16"/>
      <c r="QYB13" s="16"/>
      <c r="QYC13" s="16"/>
      <c r="QYD13" s="16"/>
      <c r="QYE13" s="16"/>
      <c r="QYF13" s="16"/>
      <c r="QYG13" s="16"/>
      <c r="QYH13" s="16"/>
      <c r="QYI13" s="16"/>
      <c r="QYJ13" s="16"/>
      <c r="QYK13" s="16"/>
      <c r="QYL13" s="16"/>
      <c r="QYM13" s="16"/>
      <c r="QYN13" s="16"/>
      <c r="QYO13" s="16"/>
      <c r="QYP13" s="16"/>
      <c r="QYQ13" s="16"/>
      <c r="QYR13" s="16"/>
      <c r="QYS13" s="16"/>
      <c r="QYT13" s="16"/>
      <c r="QYU13" s="16"/>
      <c r="QYV13" s="16"/>
      <c r="QYW13" s="16"/>
      <c r="QYX13" s="16"/>
      <c r="QYY13" s="16"/>
      <c r="QYZ13" s="16"/>
      <c r="QZA13" s="16"/>
      <c r="QZB13" s="16"/>
      <c r="QZC13" s="16"/>
      <c r="QZD13" s="16"/>
      <c r="QZE13" s="16"/>
      <c r="QZF13" s="16"/>
      <c r="QZG13" s="16"/>
      <c r="QZH13" s="16"/>
      <c r="QZI13" s="16"/>
      <c r="QZJ13" s="16"/>
      <c r="QZK13" s="16"/>
      <c r="QZL13" s="16"/>
      <c r="QZM13" s="16"/>
      <c r="QZN13" s="16"/>
      <c r="QZO13" s="16"/>
      <c r="QZP13" s="16"/>
      <c r="QZQ13" s="16"/>
      <c r="QZR13" s="16"/>
      <c r="QZS13" s="16"/>
      <c r="QZT13" s="16"/>
      <c r="QZU13" s="16"/>
      <c r="QZV13" s="16"/>
      <c r="QZW13" s="16"/>
      <c r="QZX13" s="16"/>
      <c r="QZY13" s="16"/>
      <c r="QZZ13" s="16"/>
      <c r="RAA13" s="16"/>
      <c r="RAB13" s="16"/>
      <c r="RAC13" s="16"/>
      <c r="RAD13" s="16"/>
      <c r="RAE13" s="16"/>
      <c r="RAF13" s="16"/>
      <c r="RAG13" s="16"/>
      <c r="RAH13" s="16"/>
      <c r="RAI13" s="16"/>
      <c r="RAJ13" s="16"/>
      <c r="RAK13" s="16"/>
      <c r="RAL13" s="16"/>
      <c r="RAM13" s="16"/>
      <c r="RAN13" s="16"/>
      <c r="RAO13" s="16"/>
      <c r="RAP13" s="16"/>
      <c r="RAQ13" s="16"/>
      <c r="RAR13" s="16"/>
      <c r="RAS13" s="16"/>
      <c r="RAT13" s="16"/>
      <c r="RAU13" s="16"/>
      <c r="RAV13" s="16"/>
      <c r="RAW13" s="16"/>
      <c r="RAX13" s="16"/>
      <c r="RAY13" s="16"/>
      <c r="RAZ13" s="16"/>
      <c r="RBA13" s="16"/>
      <c r="RBB13" s="16"/>
      <c r="RBC13" s="16"/>
      <c r="RBD13" s="16"/>
      <c r="RBE13" s="16"/>
      <c r="RBF13" s="16"/>
      <c r="RBG13" s="16"/>
      <c r="RBH13" s="16"/>
      <c r="RBI13" s="16"/>
      <c r="RBJ13" s="16"/>
      <c r="RBK13" s="16"/>
      <c r="RBL13" s="16"/>
      <c r="RBM13" s="16"/>
      <c r="RBN13" s="16"/>
      <c r="RBO13" s="16"/>
      <c r="RBP13" s="16"/>
      <c r="RBQ13" s="16"/>
      <c r="RBR13" s="16"/>
      <c r="RBS13" s="16"/>
      <c r="RBT13" s="16"/>
      <c r="RBU13" s="16"/>
      <c r="RBV13" s="16"/>
      <c r="RBW13" s="16"/>
      <c r="RBX13" s="16"/>
      <c r="RBY13" s="16"/>
      <c r="RBZ13" s="16"/>
      <c r="RCA13" s="16"/>
      <c r="RCB13" s="16"/>
      <c r="RCC13" s="16"/>
      <c r="RCD13" s="16"/>
      <c r="RCE13" s="16"/>
      <c r="RCF13" s="16"/>
      <c r="RCG13" s="16"/>
      <c r="RCH13" s="16"/>
      <c r="RCI13" s="16"/>
      <c r="RCJ13" s="16"/>
      <c r="RCK13" s="16"/>
      <c r="RCL13" s="16"/>
      <c r="RCM13" s="16"/>
      <c r="RCN13" s="16"/>
      <c r="RCO13" s="16"/>
      <c r="RCP13" s="16"/>
      <c r="RCQ13" s="16"/>
      <c r="RCR13" s="16"/>
      <c r="RCS13" s="16"/>
      <c r="RCT13" s="16"/>
      <c r="RCU13" s="16"/>
      <c r="RCV13" s="16"/>
      <c r="RCW13" s="16"/>
      <c r="RCX13" s="16"/>
      <c r="RCY13" s="16"/>
      <c r="RCZ13" s="16"/>
      <c r="RDA13" s="16"/>
      <c r="RDB13" s="16"/>
      <c r="RDC13" s="16"/>
      <c r="RDD13" s="16"/>
      <c r="RDE13" s="16"/>
      <c r="RDF13" s="16"/>
      <c r="RDG13" s="16"/>
      <c r="RDH13" s="16"/>
      <c r="RDI13" s="16"/>
      <c r="RDJ13" s="16"/>
      <c r="RDK13" s="16"/>
      <c r="RDL13" s="16"/>
      <c r="RDM13" s="16"/>
      <c r="RDN13" s="16"/>
      <c r="RDO13" s="16"/>
      <c r="RDP13" s="16"/>
      <c r="RDQ13" s="16"/>
      <c r="RDR13" s="16"/>
      <c r="RDS13" s="16"/>
      <c r="RDT13" s="16"/>
      <c r="RDU13" s="16"/>
      <c r="RDV13" s="16"/>
      <c r="RDW13" s="16"/>
      <c r="RDX13" s="16"/>
      <c r="RDY13" s="16"/>
      <c r="RDZ13" s="16"/>
      <c r="REA13" s="16"/>
      <c r="REB13" s="16"/>
      <c r="REC13" s="16"/>
      <c r="RED13" s="16"/>
      <c r="REE13" s="16"/>
      <c r="REF13" s="16"/>
      <c r="REG13" s="16"/>
      <c r="REH13" s="16"/>
      <c r="REI13" s="16"/>
      <c r="REJ13" s="16"/>
      <c r="REK13" s="16"/>
      <c r="REL13" s="16"/>
      <c r="REM13" s="16"/>
      <c r="REN13" s="16"/>
      <c r="REO13" s="16"/>
      <c r="REP13" s="16"/>
      <c r="REQ13" s="16"/>
      <c r="RER13" s="16"/>
      <c r="RES13" s="16"/>
      <c r="RET13" s="16"/>
      <c r="REU13" s="16"/>
      <c r="REV13" s="16"/>
      <c r="REW13" s="16"/>
      <c r="REX13" s="16"/>
      <c r="REY13" s="16"/>
      <c r="REZ13" s="16"/>
      <c r="RFA13" s="16"/>
      <c r="RFB13" s="16"/>
      <c r="RFC13" s="16"/>
      <c r="RFD13" s="16"/>
      <c r="RFE13" s="16"/>
      <c r="RFF13" s="16"/>
      <c r="RFG13" s="16"/>
      <c r="RFH13" s="16"/>
      <c r="RFI13" s="16"/>
      <c r="RFJ13" s="16"/>
      <c r="RFK13" s="16"/>
      <c r="RFL13" s="16"/>
      <c r="RFM13" s="16"/>
      <c r="RFN13" s="16"/>
      <c r="RFO13" s="16"/>
      <c r="RFP13" s="16"/>
      <c r="RFQ13" s="16"/>
      <c r="RFR13" s="16"/>
      <c r="RFS13" s="16"/>
      <c r="RFT13" s="16"/>
      <c r="RFU13" s="16"/>
      <c r="RFV13" s="16"/>
      <c r="RFW13" s="16"/>
      <c r="RFX13" s="16"/>
      <c r="RFY13" s="16"/>
      <c r="RFZ13" s="16"/>
      <c r="RGA13" s="16"/>
      <c r="RGB13" s="16"/>
      <c r="RGC13" s="16"/>
      <c r="RGD13" s="16"/>
      <c r="RGE13" s="16"/>
      <c r="RGF13" s="16"/>
      <c r="RGG13" s="16"/>
      <c r="RGH13" s="16"/>
      <c r="RGI13" s="16"/>
      <c r="RGJ13" s="16"/>
      <c r="RGK13" s="16"/>
      <c r="RGL13" s="16"/>
      <c r="RGM13" s="16"/>
      <c r="RGN13" s="16"/>
      <c r="RGO13" s="16"/>
      <c r="RGP13" s="16"/>
      <c r="RGQ13" s="16"/>
      <c r="RGR13" s="16"/>
      <c r="RGS13" s="16"/>
      <c r="RGT13" s="16"/>
      <c r="RGU13" s="16"/>
      <c r="RGV13" s="16"/>
      <c r="RGW13" s="16"/>
      <c r="RGX13" s="16"/>
      <c r="RGY13" s="16"/>
      <c r="RGZ13" s="16"/>
      <c r="RHA13" s="16"/>
      <c r="RHB13" s="16"/>
      <c r="RHC13" s="16"/>
      <c r="RHD13" s="16"/>
      <c r="RHE13" s="16"/>
      <c r="RHF13" s="16"/>
      <c r="RHG13" s="16"/>
      <c r="RHH13" s="16"/>
      <c r="RHI13" s="16"/>
      <c r="RHJ13" s="16"/>
      <c r="RHK13" s="16"/>
      <c r="RHL13" s="16"/>
      <c r="RHM13" s="16"/>
      <c r="RHN13" s="16"/>
      <c r="RHO13" s="16"/>
      <c r="RHP13" s="16"/>
      <c r="RHQ13" s="16"/>
      <c r="RHR13" s="16"/>
      <c r="RHS13" s="16"/>
      <c r="RHT13" s="16"/>
      <c r="RHU13" s="16"/>
      <c r="RHV13" s="16"/>
      <c r="RHW13" s="16"/>
      <c r="RHX13" s="16"/>
      <c r="RHY13" s="16"/>
      <c r="RHZ13" s="16"/>
      <c r="RIA13" s="16"/>
      <c r="RIB13" s="16"/>
      <c r="RIC13" s="16"/>
      <c r="RID13" s="16"/>
      <c r="RIE13" s="16"/>
      <c r="RIF13" s="16"/>
      <c r="RIG13" s="16"/>
      <c r="RIH13" s="16"/>
      <c r="RII13" s="16"/>
      <c r="RIJ13" s="16"/>
      <c r="RIK13" s="16"/>
      <c r="RIL13" s="16"/>
      <c r="RIM13" s="16"/>
      <c r="RIN13" s="16"/>
      <c r="RIO13" s="16"/>
      <c r="RIP13" s="16"/>
      <c r="RIQ13" s="16"/>
      <c r="RIR13" s="16"/>
      <c r="RIS13" s="16"/>
      <c r="RIT13" s="16"/>
      <c r="RIU13" s="16"/>
      <c r="RIV13" s="16"/>
      <c r="RIW13" s="16"/>
      <c r="RIX13" s="16"/>
      <c r="RIY13" s="16"/>
      <c r="RIZ13" s="16"/>
      <c r="RJA13" s="16"/>
      <c r="RJB13" s="16"/>
      <c r="RJC13" s="16"/>
      <c r="RJD13" s="16"/>
      <c r="RJE13" s="16"/>
      <c r="RJF13" s="16"/>
      <c r="RJG13" s="16"/>
      <c r="RJH13" s="16"/>
      <c r="RJI13" s="16"/>
      <c r="RJJ13" s="16"/>
      <c r="RJK13" s="16"/>
      <c r="RJL13" s="16"/>
      <c r="RJM13" s="16"/>
      <c r="RJN13" s="16"/>
      <c r="RJO13" s="16"/>
      <c r="RJP13" s="16"/>
      <c r="RJQ13" s="16"/>
      <c r="RJR13" s="16"/>
      <c r="RJS13" s="16"/>
      <c r="RJT13" s="16"/>
      <c r="RJU13" s="16"/>
      <c r="RJV13" s="16"/>
      <c r="RJW13" s="16"/>
      <c r="RJX13" s="16"/>
      <c r="RJY13" s="16"/>
      <c r="RJZ13" s="16"/>
      <c r="RKA13" s="16"/>
      <c r="RKB13" s="16"/>
      <c r="RKC13" s="16"/>
      <c r="RKD13" s="16"/>
      <c r="RKE13" s="16"/>
      <c r="RKF13" s="16"/>
      <c r="RKG13" s="16"/>
      <c r="RKH13" s="16"/>
      <c r="RKI13" s="16"/>
      <c r="RKJ13" s="16"/>
      <c r="RKK13" s="16"/>
      <c r="RKL13" s="16"/>
      <c r="RKM13" s="16"/>
      <c r="RKN13" s="16"/>
      <c r="RKO13" s="16"/>
      <c r="RKP13" s="16"/>
      <c r="RKQ13" s="16"/>
      <c r="RKR13" s="16"/>
      <c r="RKS13" s="16"/>
      <c r="RKT13" s="16"/>
      <c r="RKU13" s="16"/>
      <c r="RKV13" s="16"/>
      <c r="RKW13" s="16"/>
      <c r="RKX13" s="16"/>
      <c r="RKY13" s="16"/>
      <c r="RKZ13" s="16"/>
      <c r="RLA13" s="16"/>
      <c r="RLB13" s="16"/>
      <c r="RLC13" s="16"/>
      <c r="RLD13" s="16"/>
      <c r="RLE13" s="16"/>
      <c r="RLF13" s="16"/>
      <c r="RLG13" s="16"/>
      <c r="RLH13" s="16"/>
      <c r="RLI13" s="16"/>
      <c r="RLJ13" s="16"/>
      <c r="RLK13" s="16"/>
      <c r="RLL13" s="16"/>
      <c r="RLM13" s="16"/>
      <c r="RLN13" s="16"/>
      <c r="RLO13" s="16"/>
      <c r="RLP13" s="16"/>
      <c r="RLQ13" s="16"/>
      <c r="RLR13" s="16"/>
      <c r="RLS13" s="16"/>
      <c r="RLT13" s="16"/>
      <c r="RLU13" s="16"/>
      <c r="RLV13" s="16"/>
      <c r="RLW13" s="16"/>
      <c r="RLX13" s="16"/>
      <c r="RLY13" s="16"/>
      <c r="RLZ13" s="16"/>
      <c r="RMA13" s="16"/>
      <c r="RMB13" s="16"/>
      <c r="RMC13" s="16"/>
      <c r="RMD13" s="16"/>
      <c r="RME13" s="16"/>
      <c r="RMF13" s="16"/>
      <c r="RMG13" s="16"/>
      <c r="RMH13" s="16"/>
      <c r="RMI13" s="16"/>
      <c r="RMJ13" s="16"/>
      <c r="RMK13" s="16"/>
      <c r="RML13" s="16"/>
      <c r="RMM13" s="16"/>
      <c r="RMN13" s="16"/>
      <c r="RMO13" s="16"/>
      <c r="RMP13" s="16"/>
      <c r="RMQ13" s="16"/>
      <c r="RMR13" s="16"/>
      <c r="RMS13" s="16"/>
      <c r="RMT13" s="16"/>
      <c r="RMU13" s="16"/>
      <c r="RMV13" s="16"/>
      <c r="RMW13" s="16"/>
      <c r="RMX13" s="16"/>
      <c r="RMY13" s="16"/>
      <c r="RMZ13" s="16"/>
      <c r="RNA13" s="16"/>
      <c r="RNB13" s="16"/>
      <c r="RNC13" s="16"/>
      <c r="RND13" s="16"/>
      <c r="RNE13" s="16"/>
      <c r="RNF13" s="16"/>
      <c r="RNG13" s="16"/>
      <c r="RNH13" s="16"/>
      <c r="RNI13" s="16"/>
      <c r="RNJ13" s="16"/>
      <c r="RNK13" s="16"/>
      <c r="RNL13" s="16"/>
      <c r="RNM13" s="16"/>
      <c r="RNN13" s="16"/>
      <c r="RNO13" s="16"/>
      <c r="RNP13" s="16"/>
      <c r="RNQ13" s="16"/>
      <c r="RNR13" s="16"/>
      <c r="RNS13" s="16"/>
      <c r="RNT13" s="16"/>
      <c r="RNU13" s="16"/>
      <c r="RNV13" s="16"/>
      <c r="RNW13" s="16"/>
      <c r="RNX13" s="16"/>
      <c r="RNY13" s="16"/>
      <c r="RNZ13" s="16"/>
      <c r="ROA13" s="16"/>
      <c r="ROB13" s="16"/>
      <c r="ROC13" s="16"/>
      <c r="ROD13" s="16"/>
      <c r="ROE13" s="16"/>
      <c r="ROF13" s="16"/>
      <c r="ROG13" s="16"/>
      <c r="ROH13" s="16"/>
      <c r="ROI13" s="16"/>
      <c r="ROJ13" s="16"/>
      <c r="ROK13" s="16"/>
      <c r="ROL13" s="16"/>
      <c r="ROM13" s="16"/>
      <c r="RON13" s="16"/>
      <c r="ROO13" s="16"/>
      <c r="ROP13" s="16"/>
      <c r="ROQ13" s="16"/>
      <c r="ROR13" s="16"/>
      <c r="ROS13" s="16"/>
      <c r="ROT13" s="16"/>
      <c r="ROU13" s="16"/>
      <c r="ROV13" s="16"/>
      <c r="ROW13" s="16"/>
      <c r="ROX13" s="16"/>
      <c r="ROY13" s="16"/>
      <c r="ROZ13" s="16"/>
      <c r="RPA13" s="16"/>
      <c r="RPB13" s="16"/>
      <c r="RPC13" s="16"/>
      <c r="RPD13" s="16"/>
      <c r="RPE13" s="16"/>
      <c r="RPF13" s="16"/>
      <c r="RPG13" s="16"/>
      <c r="RPH13" s="16"/>
      <c r="RPI13" s="16"/>
      <c r="RPJ13" s="16"/>
      <c r="RPK13" s="16"/>
      <c r="RPL13" s="16"/>
      <c r="RPM13" s="16"/>
      <c r="RPN13" s="16"/>
      <c r="RPO13" s="16"/>
      <c r="RPP13" s="16"/>
      <c r="RPQ13" s="16"/>
      <c r="RPR13" s="16"/>
      <c r="RPS13" s="16"/>
      <c r="RPT13" s="16"/>
      <c r="RPU13" s="16"/>
      <c r="RPV13" s="16"/>
      <c r="RPW13" s="16"/>
      <c r="RPX13" s="16"/>
      <c r="RPY13" s="16"/>
      <c r="RPZ13" s="16"/>
      <c r="RQA13" s="16"/>
      <c r="RQB13" s="16"/>
      <c r="RQC13" s="16"/>
      <c r="RQD13" s="16"/>
      <c r="RQE13" s="16"/>
      <c r="RQF13" s="16"/>
      <c r="RQG13" s="16"/>
      <c r="RQH13" s="16"/>
      <c r="RQI13" s="16"/>
      <c r="RQJ13" s="16"/>
      <c r="RQK13" s="16"/>
      <c r="RQL13" s="16"/>
      <c r="RQM13" s="16"/>
      <c r="RQN13" s="16"/>
      <c r="RQO13" s="16"/>
      <c r="RQP13" s="16"/>
      <c r="RQQ13" s="16"/>
      <c r="RQR13" s="16"/>
      <c r="RQS13" s="16"/>
      <c r="RQT13" s="16"/>
      <c r="RQU13" s="16"/>
      <c r="RQV13" s="16"/>
      <c r="RQW13" s="16"/>
      <c r="RQX13" s="16"/>
      <c r="RQY13" s="16"/>
      <c r="RQZ13" s="16"/>
      <c r="RRA13" s="16"/>
      <c r="RRB13" s="16"/>
      <c r="RRC13" s="16"/>
      <c r="RRD13" s="16"/>
      <c r="RRE13" s="16"/>
      <c r="RRF13" s="16"/>
      <c r="RRG13" s="16"/>
      <c r="RRH13" s="16"/>
      <c r="RRI13" s="16"/>
      <c r="RRJ13" s="16"/>
      <c r="RRK13" s="16"/>
      <c r="RRL13" s="16"/>
      <c r="RRM13" s="16"/>
      <c r="RRN13" s="16"/>
      <c r="RRO13" s="16"/>
      <c r="RRP13" s="16"/>
      <c r="RRQ13" s="16"/>
      <c r="RRR13" s="16"/>
      <c r="RRS13" s="16"/>
      <c r="RRT13" s="16"/>
      <c r="RRU13" s="16"/>
      <c r="RRV13" s="16"/>
      <c r="RRW13" s="16"/>
      <c r="RRX13" s="16"/>
      <c r="RRY13" s="16"/>
      <c r="RRZ13" s="16"/>
      <c r="RSA13" s="16"/>
      <c r="RSB13" s="16"/>
      <c r="RSC13" s="16"/>
      <c r="RSD13" s="16"/>
      <c r="RSE13" s="16"/>
      <c r="RSF13" s="16"/>
      <c r="RSG13" s="16"/>
      <c r="RSH13" s="16"/>
      <c r="RSI13" s="16"/>
      <c r="RSJ13" s="16"/>
      <c r="RSK13" s="16"/>
      <c r="RSL13" s="16"/>
      <c r="RSM13" s="16"/>
      <c r="RSN13" s="16"/>
      <c r="RSO13" s="16"/>
      <c r="RSP13" s="16"/>
      <c r="RSQ13" s="16"/>
      <c r="RSR13" s="16"/>
      <c r="RSS13" s="16"/>
      <c r="RST13" s="16"/>
      <c r="RSU13" s="16"/>
      <c r="RSV13" s="16"/>
      <c r="RSW13" s="16"/>
      <c r="RSX13" s="16"/>
      <c r="RSY13" s="16"/>
      <c r="RSZ13" s="16"/>
      <c r="RTA13" s="16"/>
      <c r="RTB13" s="16"/>
      <c r="RTC13" s="16"/>
      <c r="RTD13" s="16"/>
      <c r="RTE13" s="16"/>
      <c r="RTF13" s="16"/>
      <c r="RTG13" s="16"/>
      <c r="RTH13" s="16"/>
      <c r="RTI13" s="16"/>
      <c r="RTJ13" s="16"/>
      <c r="RTK13" s="16"/>
      <c r="RTL13" s="16"/>
      <c r="RTM13" s="16"/>
      <c r="RTN13" s="16"/>
      <c r="RTO13" s="16"/>
      <c r="RTP13" s="16"/>
      <c r="RTQ13" s="16"/>
      <c r="RTR13" s="16"/>
      <c r="RTS13" s="16"/>
      <c r="RTT13" s="16"/>
      <c r="RTU13" s="16"/>
      <c r="RTV13" s="16"/>
      <c r="RTW13" s="16"/>
      <c r="RTX13" s="16"/>
      <c r="RTY13" s="16"/>
      <c r="RTZ13" s="16"/>
      <c r="RUA13" s="16"/>
      <c r="RUB13" s="16"/>
      <c r="RUC13" s="16"/>
      <c r="RUD13" s="16"/>
      <c r="RUE13" s="16"/>
      <c r="RUF13" s="16"/>
      <c r="RUG13" s="16"/>
      <c r="RUH13" s="16"/>
      <c r="RUI13" s="16"/>
      <c r="RUJ13" s="16"/>
      <c r="RUK13" s="16"/>
      <c r="RUL13" s="16"/>
      <c r="RUM13" s="16"/>
      <c r="RUN13" s="16"/>
      <c r="RUO13" s="16"/>
      <c r="RUP13" s="16"/>
      <c r="RUQ13" s="16"/>
      <c r="RUR13" s="16"/>
      <c r="RUS13" s="16"/>
      <c r="RUT13" s="16"/>
      <c r="RUU13" s="16"/>
      <c r="RUV13" s="16"/>
      <c r="RUW13" s="16"/>
      <c r="RUX13" s="16"/>
      <c r="RUY13" s="16"/>
      <c r="RUZ13" s="16"/>
      <c r="RVA13" s="16"/>
      <c r="RVB13" s="16"/>
      <c r="RVC13" s="16"/>
      <c r="RVD13" s="16"/>
      <c r="RVE13" s="16"/>
      <c r="RVF13" s="16"/>
      <c r="RVG13" s="16"/>
      <c r="RVH13" s="16"/>
      <c r="RVI13" s="16"/>
      <c r="RVJ13" s="16"/>
      <c r="RVK13" s="16"/>
      <c r="RVL13" s="16"/>
      <c r="RVM13" s="16"/>
      <c r="RVN13" s="16"/>
      <c r="RVO13" s="16"/>
      <c r="RVP13" s="16"/>
      <c r="RVQ13" s="16"/>
      <c r="RVR13" s="16"/>
      <c r="RVS13" s="16"/>
      <c r="RVT13" s="16"/>
      <c r="RVU13" s="16"/>
      <c r="RVV13" s="16"/>
      <c r="RVW13" s="16"/>
      <c r="RVX13" s="16"/>
      <c r="RVY13" s="16"/>
      <c r="RVZ13" s="16"/>
      <c r="RWA13" s="16"/>
      <c r="RWB13" s="16"/>
      <c r="RWC13" s="16"/>
      <c r="RWD13" s="16"/>
      <c r="RWE13" s="16"/>
      <c r="RWF13" s="16"/>
      <c r="RWG13" s="16"/>
      <c r="RWH13" s="16"/>
      <c r="RWI13" s="16"/>
      <c r="RWJ13" s="16"/>
      <c r="RWK13" s="16"/>
      <c r="RWL13" s="16"/>
      <c r="RWM13" s="16"/>
      <c r="RWN13" s="16"/>
      <c r="RWO13" s="16"/>
      <c r="RWP13" s="16"/>
      <c r="RWQ13" s="16"/>
      <c r="RWR13" s="16"/>
      <c r="RWS13" s="16"/>
      <c r="RWT13" s="16"/>
      <c r="RWU13" s="16"/>
      <c r="RWV13" s="16"/>
      <c r="RWW13" s="16"/>
      <c r="RWX13" s="16"/>
      <c r="RWY13" s="16"/>
      <c r="RWZ13" s="16"/>
      <c r="RXA13" s="16"/>
      <c r="RXB13" s="16"/>
      <c r="RXC13" s="16"/>
      <c r="RXD13" s="16"/>
      <c r="RXE13" s="16"/>
      <c r="RXF13" s="16"/>
      <c r="RXG13" s="16"/>
      <c r="RXH13" s="16"/>
      <c r="RXI13" s="16"/>
      <c r="RXJ13" s="16"/>
      <c r="RXK13" s="16"/>
      <c r="RXL13" s="16"/>
      <c r="RXM13" s="16"/>
      <c r="RXN13" s="16"/>
      <c r="RXO13" s="16"/>
      <c r="RXP13" s="16"/>
      <c r="RXQ13" s="16"/>
      <c r="RXR13" s="16"/>
      <c r="RXS13" s="16"/>
      <c r="RXT13" s="16"/>
      <c r="RXU13" s="16"/>
      <c r="RXV13" s="16"/>
      <c r="RXW13" s="16"/>
      <c r="RXX13" s="16"/>
      <c r="RXY13" s="16"/>
      <c r="RXZ13" s="16"/>
      <c r="RYA13" s="16"/>
      <c r="RYB13" s="16"/>
      <c r="RYC13" s="16"/>
      <c r="RYD13" s="16"/>
      <c r="RYE13" s="16"/>
      <c r="RYF13" s="16"/>
      <c r="RYG13" s="16"/>
      <c r="RYH13" s="16"/>
      <c r="RYI13" s="16"/>
      <c r="RYJ13" s="16"/>
      <c r="RYK13" s="16"/>
      <c r="RYL13" s="16"/>
      <c r="RYM13" s="16"/>
      <c r="RYN13" s="16"/>
      <c r="RYO13" s="16"/>
      <c r="RYP13" s="16"/>
      <c r="RYQ13" s="16"/>
      <c r="RYR13" s="16"/>
      <c r="RYS13" s="16"/>
      <c r="RYT13" s="16"/>
      <c r="RYU13" s="16"/>
      <c r="RYV13" s="16"/>
      <c r="RYW13" s="16"/>
      <c r="RYX13" s="16"/>
      <c r="RYY13" s="16"/>
      <c r="RYZ13" s="16"/>
      <c r="RZA13" s="16"/>
      <c r="RZB13" s="16"/>
      <c r="RZC13" s="16"/>
      <c r="RZD13" s="16"/>
      <c r="RZE13" s="16"/>
      <c r="RZF13" s="16"/>
      <c r="RZG13" s="16"/>
      <c r="RZH13" s="16"/>
      <c r="RZI13" s="16"/>
      <c r="RZJ13" s="16"/>
      <c r="RZK13" s="16"/>
      <c r="RZL13" s="16"/>
      <c r="RZM13" s="16"/>
      <c r="RZN13" s="16"/>
      <c r="RZO13" s="16"/>
      <c r="RZP13" s="16"/>
      <c r="RZQ13" s="16"/>
      <c r="RZR13" s="16"/>
      <c r="RZS13" s="16"/>
      <c r="RZT13" s="16"/>
      <c r="RZU13" s="16"/>
      <c r="RZV13" s="16"/>
      <c r="RZW13" s="16"/>
      <c r="RZX13" s="16"/>
      <c r="RZY13" s="16"/>
      <c r="RZZ13" s="16"/>
      <c r="SAA13" s="16"/>
      <c r="SAB13" s="16"/>
      <c r="SAC13" s="16"/>
      <c r="SAD13" s="16"/>
      <c r="SAE13" s="16"/>
      <c r="SAF13" s="16"/>
      <c r="SAG13" s="16"/>
      <c r="SAH13" s="16"/>
      <c r="SAI13" s="16"/>
      <c r="SAJ13" s="16"/>
      <c r="SAK13" s="16"/>
      <c r="SAL13" s="16"/>
      <c r="SAM13" s="16"/>
      <c r="SAN13" s="16"/>
      <c r="SAO13" s="16"/>
      <c r="SAP13" s="16"/>
      <c r="SAQ13" s="16"/>
      <c r="SAR13" s="16"/>
      <c r="SAS13" s="16"/>
      <c r="SAT13" s="16"/>
      <c r="SAU13" s="16"/>
      <c r="SAV13" s="16"/>
      <c r="SAW13" s="16"/>
      <c r="SAX13" s="16"/>
      <c r="SAY13" s="16"/>
      <c r="SAZ13" s="16"/>
      <c r="SBA13" s="16"/>
      <c r="SBB13" s="16"/>
      <c r="SBC13" s="16"/>
      <c r="SBD13" s="16"/>
      <c r="SBE13" s="16"/>
      <c r="SBF13" s="16"/>
      <c r="SBG13" s="16"/>
      <c r="SBH13" s="16"/>
      <c r="SBI13" s="16"/>
      <c r="SBJ13" s="16"/>
      <c r="SBK13" s="16"/>
      <c r="SBL13" s="16"/>
      <c r="SBM13" s="16"/>
      <c r="SBN13" s="16"/>
      <c r="SBO13" s="16"/>
      <c r="SBP13" s="16"/>
      <c r="SBQ13" s="16"/>
      <c r="SBR13" s="16"/>
      <c r="SBS13" s="16"/>
      <c r="SBT13" s="16"/>
      <c r="SBU13" s="16"/>
      <c r="SBV13" s="16"/>
      <c r="SBW13" s="16"/>
      <c r="SBX13" s="16"/>
      <c r="SBY13" s="16"/>
      <c r="SBZ13" s="16"/>
      <c r="SCA13" s="16"/>
      <c r="SCB13" s="16"/>
      <c r="SCC13" s="16"/>
      <c r="SCD13" s="16"/>
      <c r="SCE13" s="16"/>
      <c r="SCF13" s="16"/>
      <c r="SCG13" s="16"/>
      <c r="SCH13" s="16"/>
      <c r="SCI13" s="16"/>
      <c r="SCJ13" s="16"/>
      <c r="SCK13" s="16"/>
      <c r="SCL13" s="16"/>
      <c r="SCM13" s="16"/>
      <c r="SCN13" s="16"/>
      <c r="SCO13" s="16"/>
      <c r="SCP13" s="16"/>
      <c r="SCQ13" s="16"/>
      <c r="SCR13" s="16"/>
      <c r="SCS13" s="16"/>
      <c r="SCT13" s="16"/>
      <c r="SCU13" s="16"/>
      <c r="SCV13" s="16"/>
      <c r="SCW13" s="16"/>
      <c r="SCX13" s="16"/>
      <c r="SCY13" s="16"/>
      <c r="SCZ13" s="16"/>
      <c r="SDA13" s="16"/>
      <c r="SDB13" s="16"/>
      <c r="SDC13" s="16"/>
      <c r="SDD13" s="16"/>
      <c r="SDE13" s="16"/>
      <c r="SDF13" s="16"/>
      <c r="SDG13" s="16"/>
      <c r="SDH13" s="16"/>
      <c r="SDI13" s="16"/>
      <c r="SDJ13" s="16"/>
      <c r="SDK13" s="16"/>
      <c r="SDL13" s="16"/>
      <c r="SDM13" s="16"/>
      <c r="SDN13" s="16"/>
      <c r="SDO13" s="16"/>
      <c r="SDP13" s="16"/>
      <c r="SDQ13" s="16"/>
      <c r="SDR13" s="16"/>
      <c r="SDS13" s="16"/>
      <c r="SDT13" s="16"/>
      <c r="SDU13" s="16"/>
      <c r="SDV13" s="16"/>
      <c r="SDW13" s="16"/>
      <c r="SDX13" s="16"/>
      <c r="SDY13" s="16"/>
      <c r="SDZ13" s="16"/>
      <c r="SEA13" s="16"/>
      <c r="SEB13" s="16"/>
      <c r="SEC13" s="16"/>
      <c r="SED13" s="16"/>
      <c r="SEE13" s="16"/>
      <c r="SEF13" s="16"/>
      <c r="SEG13" s="16"/>
      <c r="SEH13" s="16"/>
      <c r="SEI13" s="16"/>
      <c r="SEJ13" s="16"/>
      <c r="SEK13" s="16"/>
      <c r="SEL13" s="16"/>
      <c r="SEM13" s="16"/>
      <c r="SEN13" s="16"/>
      <c r="SEO13" s="16"/>
      <c r="SEP13" s="16"/>
      <c r="SEQ13" s="16"/>
      <c r="SER13" s="16"/>
      <c r="SES13" s="16"/>
      <c r="SET13" s="16"/>
      <c r="SEU13" s="16"/>
      <c r="SEV13" s="16"/>
      <c r="SEW13" s="16"/>
      <c r="SEX13" s="16"/>
      <c r="SEY13" s="16"/>
      <c r="SEZ13" s="16"/>
      <c r="SFA13" s="16"/>
      <c r="SFB13" s="16"/>
      <c r="SFC13" s="16"/>
      <c r="SFD13" s="16"/>
      <c r="SFE13" s="16"/>
      <c r="SFF13" s="16"/>
      <c r="SFG13" s="16"/>
      <c r="SFH13" s="16"/>
      <c r="SFI13" s="16"/>
      <c r="SFJ13" s="16"/>
      <c r="SFK13" s="16"/>
      <c r="SFL13" s="16"/>
      <c r="SFM13" s="16"/>
      <c r="SFN13" s="16"/>
      <c r="SFO13" s="16"/>
      <c r="SFP13" s="16"/>
      <c r="SFQ13" s="16"/>
      <c r="SFR13" s="16"/>
      <c r="SFS13" s="16"/>
      <c r="SFT13" s="16"/>
      <c r="SFU13" s="16"/>
      <c r="SFV13" s="16"/>
      <c r="SFW13" s="16"/>
      <c r="SFX13" s="16"/>
      <c r="SFY13" s="16"/>
      <c r="SFZ13" s="16"/>
      <c r="SGA13" s="16"/>
      <c r="SGB13" s="16"/>
      <c r="SGC13" s="16"/>
      <c r="SGD13" s="16"/>
      <c r="SGE13" s="16"/>
      <c r="SGF13" s="16"/>
      <c r="SGG13" s="16"/>
      <c r="SGH13" s="16"/>
      <c r="SGI13" s="16"/>
      <c r="SGJ13" s="16"/>
      <c r="SGK13" s="16"/>
      <c r="SGL13" s="16"/>
      <c r="SGM13" s="16"/>
      <c r="SGN13" s="16"/>
      <c r="SGO13" s="16"/>
      <c r="SGP13" s="16"/>
      <c r="SGQ13" s="16"/>
      <c r="SGR13" s="16"/>
      <c r="SGS13" s="16"/>
      <c r="SGT13" s="16"/>
      <c r="SGU13" s="16"/>
      <c r="SGV13" s="16"/>
      <c r="SGW13" s="16"/>
      <c r="SGX13" s="16"/>
      <c r="SGY13" s="16"/>
      <c r="SGZ13" s="16"/>
      <c r="SHA13" s="16"/>
      <c r="SHB13" s="16"/>
      <c r="SHC13" s="16"/>
      <c r="SHD13" s="16"/>
      <c r="SHE13" s="16"/>
      <c r="SHF13" s="16"/>
      <c r="SHG13" s="16"/>
      <c r="SHH13" s="16"/>
      <c r="SHI13" s="16"/>
      <c r="SHJ13" s="16"/>
      <c r="SHK13" s="16"/>
      <c r="SHL13" s="16"/>
      <c r="SHM13" s="16"/>
      <c r="SHN13" s="16"/>
      <c r="SHO13" s="16"/>
      <c r="SHP13" s="16"/>
      <c r="SHQ13" s="16"/>
      <c r="SHR13" s="16"/>
      <c r="SHS13" s="16"/>
      <c r="SHT13" s="16"/>
      <c r="SHU13" s="16"/>
      <c r="SHV13" s="16"/>
      <c r="SHW13" s="16"/>
      <c r="SHX13" s="16"/>
      <c r="SHY13" s="16"/>
      <c r="SHZ13" s="16"/>
      <c r="SIA13" s="16"/>
      <c r="SIB13" s="16"/>
      <c r="SIC13" s="16"/>
      <c r="SID13" s="16"/>
      <c r="SIE13" s="16"/>
      <c r="SIF13" s="16"/>
      <c r="SIG13" s="16"/>
      <c r="SIH13" s="16"/>
      <c r="SII13" s="16"/>
      <c r="SIJ13" s="16"/>
      <c r="SIK13" s="16"/>
      <c r="SIL13" s="16"/>
      <c r="SIM13" s="16"/>
      <c r="SIN13" s="16"/>
      <c r="SIO13" s="16"/>
      <c r="SIP13" s="16"/>
      <c r="SIQ13" s="16"/>
      <c r="SIR13" s="16"/>
      <c r="SIS13" s="16"/>
      <c r="SIT13" s="16"/>
      <c r="SIU13" s="16"/>
      <c r="SIV13" s="16"/>
      <c r="SIW13" s="16"/>
      <c r="SIX13" s="16"/>
      <c r="SIY13" s="16"/>
      <c r="SIZ13" s="16"/>
      <c r="SJA13" s="16"/>
      <c r="SJB13" s="16"/>
      <c r="SJC13" s="16"/>
      <c r="SJD13" s="16"/>
      <c r="SJE13" s="16"/>
      <c r="SJF13" s="16"/>
      <c r="SJG13" s="16"/>
      <c r="SJH13" s="16"/>
      <c r="SJI13" s="16"/>
      <c r="SJJ13" s="16"/>
      <c r="SJK13" s="16"/>
      <c r="SJL13" s="16"/>
      <c r="SJM13" s="16"/>
      <c r="SJN13" s="16"/>
      <c r="SJO13" s="16"/>
      <c r="SJP13" s="16"/>
      <c r="SJQ13" s="16"/>
      <c r="SJR13" s="16"/>
      <c r="SJS13" s="16"/>
      <c r="SJT13" s="16"/>
      <c r="SJU13" s="16"/>
      <c r="SJV13" s="16"/>
      <c r="SJW13" s="16"/>
      <c r="SJX13" s="16"/>
      <c r="SJY13" s="16"/>
      <c r="SJZ13" s="16"/>
      <c r="SKA13" s="16"/>
      <c r="SKB13" s="16"/>
      <c r="SKC13" s="16"/>
      <c r="SKD13" s="16"/>
      <c r="SKE13" s="16"/>
      <c r="SKF13" s="16"/>
      <c r="SKG13" s="16"/>
      <c r="SKH13" s="16"/>
      <c r="SKI13" s="16"/>
      <c r="SKJ13" s="16"/>
      <c r="SKK13" s="16"/>
      <c r="SKL13" s="16"/>
      <c r="SKM13" s="16"/>
      <c r="SKN13" s="16"/>
      <c r="SKO13" s="16"/>
      <c r="SKP13" s="16"/>
      <c r="SKQ13" s="16"/>
      <c r="SKR13" s="16"/>
      <c r="SKS13" s="16"/>
      <c r="SKT13" s="16"/>
      <c r="SKU13" s="16"/>
      <c r="SKV13" s="16"/>
      <c r="SKW13" s="16"/>
      <c r="SKX13" s="16"/>
      <c r="SKY13" s="16"/>
      <c r="SKZ13" s="16"/>
      <c r="SLA13" s="16"/>
      <c r="SLB13" s="16"/>
      <c r="SLC13" s="16"/>
      <c r="SLD13" s="16"/>
      <c r="SLE13" s="16"/>
      <c r="SLF13" s="16"/>
      <c r="SLG13" s="16"/>
      <c r="SLH13" s="16"/>
      <c r="SLI13" s="16"/>
      <c r="SLJ13" s="16"/>
      <c r="SLK13" s="16"/>
      <c r="SLL13" s="16"/>
      <c r="SLM13" s="16"/>
      <c r="SLN13" s="16"/>
      <c r="SLO13" s="16"/>
      <c r="SLP13" s="16"/>
      <c r="SLQ13" s="16"/>
      <c r="SLR13" s="16"/>
      <c r="SLS13" s="16"/>
      <c r="SLT13" s="16"/>
      <c r="SLU13" s="16"/>
      <c r="SLV13" s="16"/>
      <c r="SLW13" s="16"/>
      <c r="SLX13" s="16"/>
      <c r="SLY13" s="16"/>
      <c r="SLZ13" s="16"/>
      <c r="SMA13" s="16"/>
      <c r="SMB13" s="16"/>
      <c r="SMC13" s="16"/>
      <c r="SMD13" s="16"/>
      <c r="SME13" s="16"/>
      <c r="SMF13" s="16"/>
      <c r="SMG13" s="16"/>
      <c r="SMH13" s="16"/>
      <c r="SMI13" s="16"/>
      <c r="SMJ13" s="16"/>
      <c r="SMK13" s="16"/>
      <c r="SML13" s="16"/>
      <c r="SMM13" s="16"/>
      <c r="SMN13" s="16"/>
      <c r="SMO13" s="16"/>
      <c r="SMP13" s="16"/>
      <c r="SMQ13" s="16"/>
      <c r="SMR13" s="16"/>
      <c r="SMS13" s="16"/>
      <c r="SMT13" s="16"/>
      <c r="SMU13" s="16"/>
      <c r="SMV13" s="16"/>
      <c r="SMW13" s="16"/>
      <c r="SMX13" s="16"/>
      <c r="SMY13" s="16"/>
      <c r="SMZ13" s="16"/>
      <c r="SNA13" s="16"/>
      <c r="SNB13" s="16"/>
      <c r="SNC13" s="16"/>
      <c r="SND13" s="16"/>
      <c r="SNE13" s="16"/>
      <c r="SNF13" s="16"/>
      <c r="SNG13" s="16"/>
      <c r="SNH13" s="16"/>
      <c r="SNI13" s="16"/>
      <c r="SNJ13" s="16"/>
      <c r="SNK13" s="16"/>
      <c r="SNL13" s="16"/>
      <c r="SNM13" s="16"/>
      <c r="SNN13" s="16"/>
      <c r="SNO13" s="16"/>
      <c r="SNP13" s="16"/>
      <c r="SNQ13" s="16"/>
      <c r="SNR13" s="16"/>
      <c r="SNS13" s="16"/>
      <c r="SNT13" s="16"/>
      <c r="SNU13" s="16"/>
      <c r="SNV13" s="16"/>
      <c r="SNW13" s="16"/>
      <c r="SNX13" s="16"/>
      <c r="SNY13" s="16"/>
      <c r="SNZ13" s="16"/>
      <c r="SOA13" s="16"/>
      <c r="SOB13" s="16"/>
      <c r="SOC13" s="16"/>
      <c r="SOD13" s="16"/>
      <c r="SOE13" s="16"/>
      <c r="SOF13" s="16"/>
      <c r="SOG13" s="16"/>
      <c r="SOH13" s="16"/>
      <c r="SOI13" s="16"/>
      <c r="SOJ13" s="16"/>
      <c r="SOK13" s="16"/>
      <c r="SOL13" s="16"/>
      <c r="SOM13" s="16"/>
      <c r="SON13" s="16"/>
      <c r="SOO13" s="16"/>
      <c r="SOP13" s="16"/>
      <c r="SOQ13" s="16"/>
      <c r="SOR13" s="16"/>
      <c r="SOS13" s="16"/>
      <c r="SOT13" s="16"/>
      <c r="SOU13" s="16"/>
      <c r="SOV13" s="16"/>
      <c r="SOW13" s="16"/>
      <c r="SOX13" s="16"/>
      <c r="SOY13" s="16"/>
      <c r="SOZ13" s="16"/>
      <c r="SPA13" s="16"/>
      <c r="SPB13" s="16"/>
      <c r="SPC13" s="16"/>
      <c r="SPD13" s="16"/>
      <c r="SPE13" s="16"/>
      <c r="SPF13" s="16"/>
      <c r="SPG13" s="16"/>
      <c r="SPH13" s="16"/>
      <c r="SPI13" s="16"/>
      <c r="SPJ13" s="16"/>
      <c r="SPK13" s="16"/>
      <c r="SPL13" s="16"/>
      <c r="SPM13" s="16"/>
      <c r="SPN13" s="16"/>
      <c r="SPO13" s="16"/>
      <c r="SPP13" s="16"/>
      <c r="SPQ13" s="16"/>
      <c r="SPR13" s="16"/>
      <c r="SPS13" s="16"/>
      <c r="SPT13" s="16"/>
      <c r="SPU13" s="16"/>
      <c r="SPV13" s="16"/>
      <c r="SPW13" s="16"/>
      <c r="SPX13" s="16"/>
      <c r="SPY13" s="16"/>
      <c r="SPZ13" s="16"/>
      <c r="SQA13" s="16"/>
      <c r="SQB13" s="16"/>
      <c r="SQC13" s="16"/>
      <c r="SQD13" s="16"/>
      <c r="SQE13" s="16"/>
      <c r="SQF13" s="16"/>
      <c r="SQG13" s="16"/>
      <c r="SQH13" s="16"/>
      <c r="SQI13" s="16"/>
      <c r="SQJ13" s="16"/>
      <c r="SQK13" s="16"/>
      <c r="SQL13" s="16"/>
      <c r="SQM13" s="16"/>
      <c r="SQN13" s="16"/>
      <c r="SQO13" s="16"/>
      <c r="SQP13" s="16"/>
      <c r="SQQ13" s="16"/>
      <c r="SQR13" s="16"/>
      <c r="SQS13" s="16"/>
      <c r="SQT13" s="16"/>
      <c r="SQU13" s="16"/>
      <c r="SQV13" s="16"/>
      <c r="SQW13" s="16"/>
      <c r="SQX13" s="16"/>
      <c r="SQY13" s="16"/>
      <c r="SQZ13" s="16"/>
      <c r="SRA13" s="16"/>
      <c r="SRB13" s="16"/>
      <c r="SRC13" s="16"/>
      <c r="SRD13" s="16"/>
      <c r="SRE13" s="16"/>
      <c r="SRF13" s="16"/>
      <c r="SRG13" s="16"/>
      <c r="SRH13" s="16"/>
      <c r="SRI13" s="16"/>
      <c r="SRJ13" s="16"/>
      <c r="SRK13" s="16"/>
      <c r="SRL13" s="16"/>
      <c r="SRM13" s="16"/>
      <c r="SRN13" s="16"/>
      <c r="SRO13" s="16"/>
      <c r="SRP13" s="16"/>
      <c r="SRQ13" s="16"/>
      <c r="SRR13" s="16"/>
      <c r="SRS13" s="16"/>
      <c r="SRT13" s="16"/>
      <c r="SRU13" s="16"/>
      <c r="SRV13" s="16"/>
      <c r="SRW13" s="16"/>
      <c r="SRX13" s="16"/>
      <c r="SRY13" s="16"/>
      <c r="SRZ13" s="16"/>
      <c r="SSA13" s="16"/>
      <c r="SSB13" s="16"/>
      <c r="SSC13" s="16"/>
      <c r="SSD13" s="16"/>
      <c r="SSE13" s="16"/>
      <c r="SSF13" s="16"/>
      <c r="SSG13" s="16"/>
      <c r="SSH13" s="16"/>
      <c r="SSI13" s="16"/>
      <c r="SSJ13" s="16"/>
      <c r="SSK13" s="16"/>
      <c r="SSL13" s="16"/>
      <c r="SSM13" s="16"/>
      <c r="SSN13" s="16"/>
      <c r="SSO13" s="16"/>
      <c r="SSP13" s="16"/>
      <c r="SSQ13" s="16"/>
      <c r="SSR13" s="16"/>
      <c r="SSS13" s="16"/>
      <c r="SST13" s="16"/>
      <c r="SSU13" s="16"/>
      <c r="SSV13" s="16"/>
      <c r="SSW13" s="16"/>
      <c r="SSX13" s="16"/>
      <c r="SSY13" s="16"/>
      <c r="SSZ13" s="16"/>
      <c r="STA13" s="16"/>
      <c r="STB13" s="16"/>
      <c r="STC13" s="16"/>
      <c r="STD13" s="16"/>
      <c r="STE13" s="16"/>
      <c r="STF13" s="16"/>
      <c r="STG13" s="16"/>
      <c r="STH13" s="16"/>
      <c r="STI13" s="16"/>
      <c r="STJ13" s="16"/>
      <c r="STK13" s="16"/>
      <c r="STL13" s="16"/>
      <c r="STM13" s="16"/>
      <c r="STN13" s="16"/>
      <c r="STO13" s="16"/>
      <c r="STP13" s="16"/>
      <c r="STQ13" s="16"/>
      <c r="STR13" s="16"/>
      <c r="STS13" s="16"/>
      <c r="STT13" s="16"/>
      <c r="STU13" s="16"/>
      <c r="STV13" s="16"/>
      <c r="STW13" s="16"/>
      <c r="STX13" s="16"/>
      <c r="STY13" s="16"/>
      <c r="STZ13" s="16"/>
      <c r="SUA13" s="16"/>
      <c r="SUB13" s="16"/>
      <c r="SUC13" s="16"/>
      <c r="SUD13" s="16"/>
      <c r="SUE13" s="16"/>
      <c r="SUF13" s="16"/>
      <c r="SUG13" s="16"/>
      <c r="SUH13" s="16"/>
      <c r="SUI13" s="16"/>
      <c r="SUJ13" s="16"/>
      <c r="SUK13" s="16"/>
      <c r="SUL13" s="16"/>
      <c r="SUM13" s="16"/>
      <c r="SUN13" s="16"/>
      <c r="SUO13" s="16"/>
      <c r="SUP13" s="16"/>
      <c r="SUQ13" s="16"/>
      <c r="SUR13" s="16"/>
      <c r="SUS13" s="16"/>
      <c r="SUT13" s="16"/>
      <c r="SUU13" s="16"/>
      <c r="SUV13" s="16"/>
      <c r="SUW13" s="16"/>
      <c r="SUX13" s="16"/>
      <c r="SUY13" s="16"/>
      <c r="SUZ13" s="16"/>
      <c r="SVA13" s="16"/>
      <c r="SVB13" s="16"/>
      <c r="SVC13" s="16"/>
      <c r="SVD13" s="16"/>
      <c r="SVE13" s="16"/>
      <c r="SVF13" s="16"/>
      <c r="SVG13" s="16"/>
      <c r="SVH13" s="16"/>
      <c r="SVI13" s="16"/>
      <c r="SVJ13" s="16"/>
      <c r="SVK13" s="16"/>
      <c r="SVL13" s="16"/>
      <c r="SVM13" s="16"/>
      <c r="SVN13" s="16"/>
      <c r="SVO13" s="16"/>
      <c r="SVP13" s="16"/>
      <c r="SVQ13" s="16"/>
      <c r="SVR13" s="16"/>
      <c r="SVS13" s="16"/>
      <c r="SVT13" s="16"/>
      <c r="SVU13" s="16"/>
      <c r="SVV13" s="16"/>
      <c r="SVW13" s="16"/>
      <c r="SVX13" s="16"/>
      <c r="SVY13" s="16"/>
      <c r="SVZ13" s="16"/>
      <c r="SWA13" s="16"/>
      <c r="SWB13" s="16"/>
      <c r="SWC13" s="16"/>
      <c r="SWD13" s="16"/>
      <c r="SWE13" s="16"/>
      <c r="SWF13" s="16"/>
      <c r="SWG13" s="16"/>
      <c r="SWH13" s="16"/>
      <c r="SWI13" s="16"/>
      <c r="SWJ13" s="16"/>
      <c r="SWK13" s="16"/>
      <c r="SWL13" s="16"/>
      <c r="SWM13" s="16"/>
      <c r="SWN13" s="16"/>
      <c r="SWO13" s="16"/>
      <c r="SWP13" s="16"/>
      <c r="SWQ13" s="16"/>
      <c r="SWR13" s="16"/>
      <c r="SWS13" s="16"/>
      <c r="SWT13" s="16"/>
      <c r="SWU13" s="16"/>
      <c r="SWV13" s="16"/>
      <c r="SWW13" s="16"/>
      <c r="SWX13" s="16"/>
      <c r="SWY13" s="16"/>
      <c r="SWZ13" s="16"/>
      <c r="SXA13" s="16"/>
      <c r="SXB13" s="16"/>
      <c r="SXC13" s="16"/>
      <c r="SXD13" s="16"/>
      <c r="SXE13" s="16"/>
      <c r="SXF13" s="16"/>
      <c r="SXG13" s="16"/>
      <c r="SXH13" s="16"/>
      <c r="SXI13" s="16"/>
      <c r="SXJ13" s="16"/>
      <c r="SXK13" s="16"/>
      <c r="SXL13" s="16"/>
      <c r="SXM13" s="16"/>
      <c r="SXN13" s="16"/>
      <c r="SXO13" s="16"/>
      <c r="SXP13" s="16"/>
      <c r="SXQ13" s="16"/>
      <c r="SXR13" s="16"/>
      <c r="SXS13" s="16"/>
      <c r="SXT13" s="16"/>
      <c r="SXU13" s="16"/>
      <c r="SXV13" s="16"/>
      <c r="SXW13" s="16"/>
      <c r="SXX13" s="16"/>
      <c r="SXY13" s="16"/>
      <c r="SXZ13" s="16"/>
      <c r="SYA13" s="16"/>
      <c r="SYB13" s="16"/>
      <c r="SYC13" s="16"/>
      <c r="SYD13" s="16"/>
      <c r="SYE13" s="16"/>
      <c r="SYF13" s="16"/>
      <c r="SYG13" s="16"/>
      <c r="SYH13" s="16"/>
      <c r="SYI13" s="16"/>
      <c r="SYJ13" s="16"/>
      <c r="SYK13" s="16"/>
      <c r="SYL13" s="16"/>
      <c r="SYM13" s="16"/>
      <c r="SYN13" s="16"/>
      <c r="SYO13" s="16"/>
      <c r="SYP13" s="16"/>
      <c r="SYQ13" s="16"/>
      <c r="SYR13" s="16"/>
      <c r="SYS13" s="16"/>
      <c r="SYT13" s="16"/>
      <c r="SYU13" s="16"/>
      <c r="SYV13" s="16"/>
      <c r="SYW13" s="16"/>
      <c r="SYX13" s="16"/>
      <c r="SYY13" s="16"/>
      <c r="SYZ13" s="16"/>
      <c r="SZA13" s="16"/>
      <c r="SZB13" s="16"/>
      <c r="SZC13" s="16"/>
      <c r="SZD13" s="16"/>
      <c r="SZE13" s="16"/>
      <c r="SZF13" s="16"/>
      <c r="SZG13" s="16"/>
      <c r="SZH13" s="16"/>
      <c r="SZI13" s="16"/>
      <c r="SZJ13" s="16"/>
      <c r="SZK13" s="16"/>
      <c r="SZL13" s="16"/>
      <c r="SZM13" s="16"/>
      <c r="SZN13" s="16"/>
      <c r="SZO13" s="16"/>
      <c r="SZP13" s="16"/>
      <c r="SZQ13" s="16"/>
      <c r="SZR13" s="16"/>
      <c r="SZS13" s="16"/>
      <c r="SZT13" s="16"/>
      <c r="SZU13" s="16"/>
      <c r="SZV13" s="16"/>
      <c r="SZW13" s="16"/>
      <c r="SZX13" s="16"/>
      <c r="SZY13" s="16"/>
      <c r="SZZ13" s="16"/>
      <c r="TAA13" s="16"/>
      <c r="TAB13" s="16"/>
      <c r="TAC13" s="16"/>
      <c r="TAD13" s="16"/>
      <c r="TAE13" s="16"/>
      <c r="TAF13" s="16"/>
      <c r="TAG13" s="16"/>
      <c r="TAH13" s="16"/>
      <c r="TAI13" s="16"/>
      <c r="TAJ13" s="16"/>
      <c r="TAK13" s="16"/>
      <c r="TAL13" s="16"/>
      <c r="TAM13" s="16"/>
      <c r="TAN13" s="16"/>
      <c r="TAO13" s="16"/>
      <c r="TAP13" s="16"/>
      <c r="TAQ13" s="16"/>
      <c r="TAR13" s="16"/>
      <c r="TAS13" s="16"/>
      <c r="TAT13" s="16"/>
      <c r="TAU13" s="16"/>
      <c r="TAV13" s="16"/>
      <c r="TAW13" s="16"/>
      <c r="TAX13" s="16"/>
      <c r="TAY13" s="16"/>
      <c r="TAZ13" s="16"/>
      <c r="TBA13" s="16"/>
      <c r="TBB13" s="16"/>
      <c r="TBC13" s="16"/>
      <c r="TBD13" s="16"/>
      <c r="TBE13" s="16"/>
      <c r="TBF13" s="16"/>
      <c r="TBG13" s="16"/>
      <c r="TBH13" s="16"/>
      <c r="TBI13" s="16"/>
      <c r="TBJ13" s="16"/>
      <c r="TBK13" s="16"/>
      <c r="TBL13" s="16"/>
      <c r="TBM13" s="16"/>
      <c r="TBN13" s="16"/>
      <c r="TBO13" s="16"/>
      <c r="TBP13" s="16"/>
      <c r="TBQ13" s="16"/>
      <c r="TBR13" s="16"/>
      <c r="TBS13" s="16"/>
      <c r="TBT13" s="16"/>
      <c r="TBU13" s="16"/>
      <c r="TBV13" s="16"/>
      <c r="TBW13" s="16"/>
      <c r="TBX13" s="16"/>
      <c r="TBY13" s="16"/>
      <c r="TBZ13" s="16"/>
      <c r="TCA13" s="16"/>
      <c r="TCB13" s="16"/>
      <c r="TCC13" s="16"/>
      <c r="TCD13" s="16"/>
      <c r="TCE13" s="16"/>
      <c r="TCF13" s="16"/>
      <c r="TCG13" s="16"/>
      <c r="TCH13" s="16"/>
      <c r="TCI13" s="16"/>
      <c r="TCJ13" s="16"/>
      <c r="TCK13" s="16"/>
      <c r="TCL13" s="16"/>
      <c r="TCM13" s="16"/>
      <c r="TCN13" s="16"/>
      <c r="TCO13" s="16"/>
      <c r="TCP13" s="16"/>
      <c r="TCQ13" s="16"/>
      <c r="TCR13" s="16"/>
      <c r="TCS13" s="16"/>
      <c r="TCT13" s="16"/>
      <c r="TCU13" s="16"/>
      <c r="TCV13" s="16"/>
      <c r="TCW13" s="16"/>
      <c r="TCX13" s="16"/>
      <c r="TCY13" s="16"/>
      <c r="TCZ13" s="16"/>
      <c r="TDA13" s="16"/>
      <c r="TDB13" s="16"/>
      <c r="TDC13" s="16"/>
      <c r="TDD13" s="16"/>
      <c r="TDE13" s="16"/>
      <c r="TDF13" s="16"/>
      <c r="TDG13" s="16"/>
      <c r="TDH13" s="16"/>
      <c r="TDI13" s="16"/>
      <c r="TDJ13" s="16"/>
      <c r="TDK13" s="16"/>
      <c r="TDL13" s="16"/>
      <c r="TDM13" s="16"/>
      <c r="TDN13" s="16"/>
      <c r="TDO13" s="16"/>
      <c r="TDP13" s="16"/>
      <c r="TDQ13" s="16"/>
      <c r="TDR13" s="16"/>
      <c r="TDS13" s="16"/>
      <c r="TDT13" s="16"/>
      <c r="TDU13" s="16"/>
      <c r="TDV13" s="16"/>
      <c r="TDW13" s="16"/>
      <c r="TDX13" s="16"/>
      <c r="TDY13" s="16"/>
      <c r="TDZ13" s="16"/>
      <c r="TEA13" s="16"/>
      <c r="TEB13" s="16"/>
      <c r="TEC13" s="16"/>
      <c r="TED13" s="16"/>
      <c r="TEE13" s="16"/>
      <c r="TEF13" s="16"/>
      <c r="TEG13" s="16"/>
      <c r="TEH13" s="16"/>
      <c r="TEI13" s="16"/>
      <c r="TEJ13" s="16"/>
      <c r="TEK13" s="16"/>
      <c r="TEL13" s="16"/>
      <c r="TEM13" s="16"/>
      <c r="TEN13" s="16"/>
      <c r="TEO13" s="16"/>
      <c r="TEP13" s="16"/>
      <c r="TEQ13" s="16"/>
      <c r="TER13" s="16"/>
      <c r="TES13" s="16"/>
      <c r="TET13" s="16"/>
      <c r="TEU13" s="16"/>
      <c r="TEV13" s="16"/>
      <c r="TEW13" s="16"/>
      <c r="TEX13" s="16"/>
      <c r="TEY13" s="16"/>
      <c r="TEZ13" s="16"/>
      <c r="TFA13" s="16"/>
      <c r="TFB13" s="16"/>
      <c r="TFC13" s="16"/>
      <c r="TFD13" s="16"/>
      <c r="TFE13" s="16"/>
      <c r="TFF13" s="16"/>
      <c r="TFG13" s="16"/>
      <c r="TFH13" s="16"/>
      <c r="TFI13" s="16"/>
      <c r="TFJ13" s="16"/>
      <c r="TFK13" s="16"/>
      <c r="TFL13" s="16"/>
      <c r="TFM13" s="16"/>
      <c r="TFN13" s="16"/>
      <c r="TFO13" s="16"/>
      <c r="TFP13" s="16"/>
      <c r="TFQ13" s="16"/>
      <c r="TFR13" s="16"/>
      <c r="TFS13" s="16"/>
      <c r="TFT13" s="16"/>
      <c r="TFU13" s="16"/>
      <c r="TFV13" s="16"/>
      <c r="TFW13" s="16"/>
      <c r="TFX13" s="16"/>
      <c r="TFY13" s="16"/>
      <c r="TFZ13" s="16"/>
      <c r="TGA13" s="16"/>
      <c r="TGB13" s="16"/>
      <c r="TGC13" s="16"/>
      <c r="TGD13" s="16"/>
      <c r="TGE13" s="16"/>
      <c r="TGF13" s="16"/>
      <c r="TGG13" s="16"/>
      <c r="TGH13" s="16"/>
      <c r="TGI13" s="16"/>
      <c r="TGJ13" s="16"/>
      <c r="TGK13" s="16"/>
      <c r="TGL13" s="16"/>
      <c r="TGM13" s="16"/>
      <c r="TGN13" s="16"/>
      <c r="TGO13" s="16"/>
      <c r="TGP13" s="16"/>
      <c r="TGQ13" s="16"/>
      <c r="TGR13" s="16"/>
      <c r="TGS13" s="16"/>
      <c r="TGT13" s="16"/>
      <c r="TGU13" s="16"/>
      <c r="TGV13" s="16"/>
      <c r="TGW13" s="16"/>
      <c r="TGX13" s="16"/>
      <c r="TGY13" s="16"/>
      <c r="TGZ13" s="16"/>
      <c r="THA13" s="16"/>
      <c r="THB13" s="16"/>
      <c r="THC13" s="16"/>
      <c r="THD13" s="16"/>
      <c r="THE13" s="16"/>
      <c r="THF13" s="16"/>
      <c r="THG13" s="16"/>
      <c r="THH13" s="16"/>
      <c r="THI13" s="16"/>
      <c r="THJ13" s="16"/>
      <c r="THK13" s="16"/>
      <c r="THL13" s="16"/>
      <c r="THM13" s="16"/>
      <c r="THN13" s="16"/>
      <c r="THO13" s="16"/>
      <c r="THP13" s="16"/>
      <c r="THQ13" s="16"/>
      <c r="THR13" s="16"/>
      <c r="THS13" s="16"/>
      <c r="THT13" s="16"/>
      <c r="THU13" s="16"/>
      <c r="THV13" s="16"/>
      <c r="THW13" s="16"/>
      <c r="THX13" s="16"/>
      <c r="THY13" s="16"/>
      <c r="THZ13" s="16"/>
      <c r="TIA13" s="16"/>
      <c r="TIB13" s="16"/>
      <c r="TIC13" s="16"/>
      <c r="TID13" s="16"/>
      <c r="TIE13" s="16"/>
      <c r="TIF13" s="16"/>
      <c r="TIG13" s="16"/>
      <c r="TIH13" s="16"/>
      <c r="TII13" s="16"/>
      <c r="TIJ13" s="16"/>
      <c r="TIK13" s="16"/>
      <c r="TIL13" s="16"/>
      <c r="TIM13" s="16"/>
      <c r="TIN13" s="16"/>
      <c r="TIO13" s="16"/>
      <c r="TIP13" s="16"/>
      <c r="TIQ13" s="16"/>
      <c r="TIR13" s="16"/>
      <c r="TIS13" s="16"/>
      <c r="TIT13" s="16"/>
      <c r="TIU13" s="16"/>
      <c r="TIV13" s="16"/>
      <c r="TIW13" s="16"/>
      <c r="TIX13" s="16"/>
      <c r="TIY13" s="16"/>
      <c r="TIZ13" s="16"/>
      <c r="TJA13" s="16"/>
      <c r="TJB13" s="16"/>
      <c r="TJC13" s="16"/>
      <c r="TJD13" s="16"/>
      <c r="TJE13" s="16"/>
      <c r="TJF13" s="16"/>
      <c r="TJG13" s="16"/>
      <c r="TJH13" s="16"/>
      <c r="TJI13" s="16"/>
      <c r="TJJ13" s="16"/>
      <c r="TJK13" s="16"/>
      <c r="TJL13" s="16"/>
      <c r="TJM13" s="16"/>
      <c r="TJN13" s="16"/>
      <c r="TJO13" s="16"/>
      <c r="TJP13" s="16"/>
      <c r="TJQ13" s="16"/>
      <c r="TJR13" s="16"/>
      <c r="TJS13" s="16"/>
      <c r="TJT13" s="16"/>
      <c r="TJU13" s="16"/>
      <c r="TJV13" s="16"/>
      <c r="TJW13" s="16"/>
      <c r="TJX13" s="16"/>
      <c r="TJY13" s="16"/>
      <c r="TJZ13" s="16"/>
      <c r="TKA13" s="16"/>
      <c r="TKB13" s="16"/>
      <c r="TKC13" s="16"/>
      <c r="TKD13" s="16"/>
      <c r="TKE13" s="16"/>
      <c r="TKF13" s="16"/>
      <c r="TKG13" s="16"/>
      <c r="TKH13" s="16"/>
      <c r="TKI13" s="16"/>
      <c r="TKJ13" s="16"/>
      <c r="TKK13" s="16"/>
      <c r="TKL13" s="16"/>
      <c r="TKM13" s="16"/>
      <c r="TKN13" s="16"/>
      <c r="TKO13" s="16"/>
      <c r="TKP13" s="16"/>
      <c r="TKQ13" s="16"/>
      <c r="TKR13" s="16"/>
      <c r="TKS13" s="16"/>
      <c r="TKT13" s="16"/>
      <c r="TKU13" s="16"/>
      <c r="TKV13" s="16"/>
      <c r="TKW13" s="16"/>
      <c r="TKX13" s="16"/>
      <c r="TKY13" s="16"/>
      <c r="TKZ13" s="16"/>
      <c r="TLA13" s="16"/>
      <c r="TLB13" s="16"/>
      <c r="TLC13" s="16"/>
      <c r="TLD13" s="16"/>
      <c r="TLE13" s="16"/>
      <c r="TLF13" s="16"/>
      <c r="TLG13" s="16"/>
      <c r="TLH13" s="16"/>
      <c r="TLI13" s="16"/>
      <c r="TLJ13" s="16"/>
      <c r="TLK13" s="16"/>
      <c r="TLL13" s="16"/>
      <c r="TLM13" s="16"/>
      <c r="TLN13" s="16"/>
      <c r="TLO13" s="16"/>
      <c r="TLP13" s="16"/>
      <c r="TLQ13" s="16"/>
      <c r="TLR13" s="16"/>
      <c r="TLS13" s="16"/>
      <c r="TLT13" s="16"/>
      <c r="TLU13" s="16"/>
      <c r="TLV13" s="16"/>
      <c r="TLW13" s="16"/>
      <c r="TLX13" s="16"/>
      <c r="TLY13" s="16"/>
      <c r="TLZ13" s="16"/>
      <c r="TMA13" s="16"/>
      <c r="TMB13" s="16"/>
      <c r="TMC13" s="16"/>
      <c r="TMD13" s="16"/>
      <c r="TME13" s="16"/>
      <c r="TMF13" s="16"/>
      <c r="TMG13" s="16"/>
      <c r="TMH13" s="16"/>
      <c r="TMI13" s="16"/>
      <c r="TMJ13" s="16"/>
      <c r="TMK13" s="16"/>
      <c r="TML13" s="16"/>
      <c r="TMM13" s="16"/>
      <c r="TMN13" s="16"/>
      <c r="TMO13" s="16"/>
      <c r="TMP13" s="16"/>
      <c r="TMQ13" s="16"/>
      <c r="TMR13" s="16"/>
      <c r="TMS13" s="16"/>
      <c r="TMT13" s="16"/>
      <c r="TMU13" s="16"/>
      <c r="TMV13" s="16"/>
      <c r="TMW13" s="16"/>
      <c r="TMX13" s="16"/>
      <c r="TMY13" s="16"/>
      <c r="TMZ13" s="16"/>
      <c r="TNA13" s="16"/>
      <c r="TNB13" s="16"/>
      <c r="TNC13" s="16"/>
      <c r="TND13" s="16"/>
      <c r="TNE13" s="16"/>
      <c r="TNF13" s="16"/>
      <c r="TNG13" s="16"/>
      <c r="TNH13" s="16"/>
      <c r="TNI13" s="16"/>
      <c r="TNJ13" s="16"/>
      <c r="TNK13" s="16"/>
      <c r="TNL13" s="16"/>
      <c r="TNM13" s="16"/>
      <c r="TNN13" s="16"/>
      <c r="TNO13" s="16"/>
      <c r="TNP13" s="16"/>
      <c r="TNQ13" s="16"/>
      <c r="TNR13" s="16"/>
      <c r="TNS13" s="16"/>
      <c r="TNT13" s="16"/>
      <c r="TNU13" s="16"/>
      <c r="TNV13" s="16"/>
      <c r="TNW13" s="16"/>
      <c r="TNX13" s="16"/>
      <c r="TNY13" s="16"/>
      <c r="TNZ13" s="16"/>
      <c r="TOA13" s="16"/>
      <c r="TOB13" s="16"/>
      <c r="TOC13" s="16"/>
      <c r="TOD13" s="16"/>
      <c r="TOE13" s="16"/>
      <c r="TOF13" s="16"/>
      <c r="TOG13" s="16"/>
      <c r="TOH13" s="16"/>
      <c r="TOI13" s="16"/>
      <c r="TOJ13" s="16"/>
      <c r="TOK13" s="16"/>
      <c r="TOL13" s="16"/>
      <c r="TOM13" s="16"/>
      <c r="TON13" s="16"/>
      <c r="TOO13" s="16"/>
      <c r="TOP13" s="16"/>
      <c r="TOQ13" s="16"/>
      <c r="TOR13" s="16"/>
      <c r="TOS13" s="16"/>
      <c r="TOT13" s="16"/>
      <c r="TOU13" s="16"/>
      <c r="TOV13" s="16"/>
      <c r="TOW13" s="16"/>
      <c r="TOX13" s="16"/>
      <c r="TOY13" s="16"/>
      <c r="TOZ13" s="16"/>
      <c r="TPA13" s="16"/>
      <c r="TPB13" s="16"/>
      <c r="TPC13" s="16"/>
      <c r="TPD13" s="16"/>
      <c r="TPE13" s="16"/>
      <c r="TPF13" s="16"/>
      <c r="TPG13" s="16"/>
      <c r="TPH13" s="16"/>
      <c r="TPI13" s="16"/>
      <c r="TPJ13" s="16"/>
      <c r="TPK13" s="16"/>
      <c r="TPL13" s="16"/>
      <c r="TPM13" s="16"/>
      <c r="TPN13" s="16"/>
      <c r="TPO13" s="16"/>
      <c r="TPP13" s="16"/>
      <c r="TPQ13" s="16"/>
      <c r="TPR13" s="16"/>
      <c r="TPS13" s="16"/>
      <c r="TPT13" s="16"/>
      <c r="TPU13" s="16"/>
      <c r="TPV13" s="16"/>
      <c r="TPW13" s="16"/>
      <c r="TPX13" s="16"/>
      <c r="TPY13" s="16"/>
      <c r="TPZ13" s="16"/>
      <c r="TQA13" s="16"/>
      <c r="TQB13" s="16"/>
      <c r="TQC13" s="16"/>
      <c r="TQD13" s="16"/>
      <c r="TQE13" s="16"/>
      <c r="TQF13" s="16"/>
      <c r="TQG13" s="16"/>
      <c r="TQH13" s="16"/>
      <c r="TQI13" s="16"/>
      <c r="TQJ13" s="16"/>
      <c r="TQK13" s="16"/>
      <c r="TQL13" s="16"/>
      <c r="TQM13" s="16"/>
      <c r="TQN13" s="16"/>
      <c r="TQO13" s="16"/>
      <c r="TQP13" s="16"/>
      <c r="TQQ13" s="16"/>
      <c r="TQR13" s="16"/>
      <c r="TQS13" s="16"/>
      <c r="TQT13" s="16"/>
      <c r="TQU13" s="16"/>
      <c r="TQV13" s="16"/>
      <c r="TQW13" s="16"/>
      <c r="TQX13" s="16"/>
      <c r="TQY13" s="16"/>
      <c r="TQZ13" s="16"/>
      <c r="TRA13" s="16"/>
      <c r="TRB13" s="16"/>
      <c r="TRC13" s="16"/>
      <c r="TRD13" s="16"/>
      <c r="TRE13" s="16"/>
      <c r="TRF13" s="16"/>
      <c r="TRG13" s="16"/>
      <c r="TRH13" s="16"/>
      <c r="TRI13" s="16"/>
      <c r="TRJ13" s="16"/>
      <c r="TRK13" s="16"/>
      <c r="TRL13" s="16"/>
      <c r="TRM13" s="16"/>
      <c r="TRN13" s="16"/>
      <c r="TRO13" s="16"/>
      <c r="TRP13" s="16"/>
      <c r="TRQ13" s="16"/>
      <c r="TRR13" s="16"/>
      <c r="TRS13" s="16"/>
      <c r="TRT13" s="16"/>
      <c r="TRU13" s="16"/>
      <c r="TRV13" s="16"/>
      <c r="TRW13" s="16"/>
      <c r="TRX13" s="16"/>
      <c r="TRY13" s="16"/>
      <c r="TRZ13" s="16"/>
      <c r="TSA13" s="16"/>
      <c r="TSB13" s="16"/>
      <c r="TSC13" s="16"/>
      <c r="TSD13" s="16"/>
      <c r="TSE13" s="16"/>
      <c r="TSF13" s="16"/>
      <c r="TSG13" s="16"/>
      <c r="TSH13" s="16"/>
      <c r="TSI13" s="16"/>
      <c r="TSJ13" s="16"/>
      <c r="TSK13" s="16"/>
      <c r="TSL13" s="16"/>
      <c r="TSM13" s="16"/>
      <c r="TSN13" s="16"/>
      <c r="TSO13" s="16"/>
      <c r="TSP13" s="16"/>
      <c r="TSQ13" s="16"/>
      <c r="TSR13" s="16"/>
      <c r="TSS13" s="16"/>
      <c r="TST13" s="16"/>
      <c r="TSU13" s="16"/>
      <c r="TSV13" s="16"/>
      <c r="TSW13" s="16"/>
      <c r="TSX13" s="16"/>
      <c r="TSY13" s="16"/>
      <c r="TSZ13" s="16"/>
      <c r="TTA13" s="16"/>
      <c r="TTB13" s="16"/>
      <c r="TTC13" s="16"/>
      <c r="TTD13" s="16"/>
      <c r="TTE13" s="16"/>
      <c r="TTF13" s="16"/>
      <c r="TTG13" s="16"/>
      <c r="TTH13" s="16"/>
      <c r="TTI13" s="16"/>
      <c r="TTJ13" s="16"/>
      <c r="TTK13" s="16"/>
      <c r="TTL13" s="16"/>
      <c r="TTM13" s="16"/>
      <c r="TTN13" s="16"/>
      <c r="TTO13" s="16"/>
      <c r="TTP13" s="16"/>
      <c r="TTQ13" s="16"/>
      <c r="TTR13" s="16"/>
      <c r="TTS13" s="16"/>
      <c r="TTT13" s="16"/>
      <c r="TTU13" s="16"/>
      <c r="TTV13" s="16"/>
      <c r="TTW13" s="16"/>
      <c r="TTX13" s="16"/>
      <c r="TTY13" s="16"/>
      <c r="TTZ13" s="16"/>
      <c r="TUA13" s="16"/>
      <c r="TUB13" s="16"/>
      <c r="TUC13" s="16"/>
      <c r="TUD13" s="16"/>
      <c r="TUE13" s="16"/>
      <c r="TUF13" s="16"/>
      <c r="TUG13" s="16"/>
      <c r="TUH13" s="16"/>
      <c r="TUI13" s="16"/>
      <c r="TUJ13" s="16"/>
      <c r="TUK13" s="16"/>
      <c r="TUL13" s="16"/>
      <c r="TUM13" s="16"/>
      <c r="TUN13" s="16"/>
      <c r="TUO13" s="16"/>
      <c r="TUP13" s="16"/>
      <c r="TUQ13" s="16"/>
      <c r="TUR13" s="16"/>
      <c r="TUS13" s="16"/>
      <c r="TUT13" s="16"/>
      <c r="TUU13" s="16"/>
      <c r="TUV13" s="16"/>
      <c r="TUW13" s="16"/>
      <c r="TUX13" s="16"/>
      <c r="TUY13" s="16"/>
      <c r="TUZ13" s="16"/>
      <c r="TVA13" s="16"/>
      <c r="TVB13" s="16"/>
      <c r="TVC13" s="16"/>
      <c r="TVD13" s="16"/>
      <c r="TVE13" s="16"/>
      <c r="TVF13" s="16"/>
      <c r="TVG13" s="16"/>
      <c r="TVH13" s="16"/>
      <c r="TVI13" s="16"/>
      <c r="TVJ13" s="16"/>
      <c r="TVK13" s="16"/>
      <c r="TVL13" s="16"/>
      <c r="TVM13" s="16"/>
      <c r="TVN13" s="16"/>
      <c r="TVO13" s="16"/>
      <c r="TVP13" s="16"/>
      <c r="TVQ13" s="16"/>
      <c r="TVR13" s="16"/>
      <c r="TVS13" s="16"/>
      <c r="TVT13" s="16"/>
      <c r="TVU13" s="16"/>
      <c r="TVV13" s="16"/>
      <c r="TVW13" s="16"/>
      <c r="TVX13" s="16"/>
      <c r="TVY13" s="16"/>
      <c r="TVZ13" s="16"/>
      <c r="TWA13" s="16"/>
      <c r="TWB13" s="16"/>
      <c r="TWC13" s="16"/>
      <c r="TWD13" s="16"/>
      <c r="TWE13" s="16"/>
      <c r="TWF13" s="16"/>
      <c r="TWG13" s="16"/>
      <c r="TWH13" s="16"/>
      <c r="TWI13" s="16"/>
      <c r="TWJ13" s="16"/>
      <c r="TWK13" s="16"/>
      <c r="TWL13" s="16"/>
      <c r="TWM13" s="16"/>
      <c r="TWN13" s="16"/>
      <c r="TWO13" s="16"/>
      <c r="TWP13" s="16"/>
      <c r="TWQ13" s="16"/>
      <c r="TWR13" s="16"/>
      <c r="TWS13" s="16"/>
      <c r="TWT13" s="16"/>
      <c r="TWU13" s="16"/>
      <c r="TWV13" s="16"/>
      <c r="TWW13" s="16"/>
      <c r="TWX13" s="16"/>
      <c r="TWY13" s="16"/>
      <c r="TWZ13" s="16"/>
      <c r="TXA13" s="16"/>
      <c r="TXB13" s="16"/>
      <c r="TXC13" s="16"/>
      <c r="TXD13" s="16"/>
      <c r="TXE13" s="16"/>
      <c r="TXF13" s="16"/>
      <c r="TXG13" s="16"/>
      <c r="TXH13" s="16"/>
      <c r="TXI13" s="16"/>
      <c r="TXJ13" s="16"/>
      <c r="TXK13" s="16"/>
      <c r="TXL13" s="16"/>
      <c r="TXM13" s="16"/>
      <c r="TXN13" s="16"/>
      <c r="TXO13" s="16"/>
      <c r="TXP13" s="16"/>
      <c r="TXQ13" s="16"/>
      <c r="TXR13" s="16"/>
      <c r="TXS13" s="16"/>
      <c r="TXT13" s="16"/>
      <c r="TXU13" s="16"/>
      <c r="TXV13" s="16"/>
      <c r="TXW13" s="16"/>
      <c r="TXX13" s="16"/>
      <c r="TXY13" s="16"/>
      <c r="TXZ13" s="16"/>
      <c r="TYA13" s="16"/>
      <c r="TYB13" s="16"/>
      <c r="TYC13" s="16"/>
      <c r="TYD13" s="16"/>
      <c r="TYE13" s="16"/>
      <c r="TYF13" s="16"/>
      <c r="TYG13" s="16"/>
      <c r="TYH13" s="16"/>
      <c r="TYI13" s="16"/>
      <c r="TYJ13" s="16"/>
      <c r="TYK13" s="16"/>
      <c r="TYL13" s="16"/>
      <c r="TYM13" s="16"/>
      <c r="TYN13" s="16"/>
      <c r="TYO13" s="16"/>
      <c r="TYP13" s="16"/>
      <c r="TYQ13" s="16"/>
      <c r="TYR13" s="16"/>
      <c r="TYS13" s="16"/>
      <c r="TYT13" s="16"/>
      <c r="TYU13" s="16"/>
      <c r="TYV13" s="16"/>
      <c r="TYW13" s="16"/>
      <c r="TYX13" s="16"/>
      <c r="TYY13" s="16"/>
      <c r="TYZ13" s="16"/>
      <c r="TZA13" s="16"/>
      <c r="TZB13" s="16"/>
      <c r="TZC13" s="16"/>
      <c r="TZD13" s="16"/>
      <c r="TZE13" s="16"/>
      <c r="TZF13" s="16"/>
      <c r="TZG13" s="16"/>
      <c r="TZH13" s="16"/>
      <c r="TZI13" s="16"/>
      <c r="TZJ13" s="16"/>
      <c r="TZK13" s="16"/>
      <c r="TZL13" s="16"/>
      <c r="TZM13" s="16"/>
      <c r="TZN13" s="16"/>
      <c r="TZO13" s="16"/>
      <c r="TZP13" s="16"/>
      <c r="TZQ13" s="16"/>
      <c r="TZR13" s="16"/>
      <c r="TZS13" s="16"/>
      <c r="TZT13" s="16"/>
      <c r="TZU13" s="16"/>
      <c r="TZV13" s="16"/>
      <c r="TZW13" s="16"/>
      <c r="TZX13" s="16"/>
      <c r="TZY13" s="16"/>
      <c r="TZZ13" s="16"/>
      <c r="UAA13" s="16"/>
      <c r="UAB13" s="16"/>
      <c r="UAC13" s="16"/>
      <c r="UAD13" s="16"/>
      <c r="UAE13" s="16"/>
      <c r="UAF13" s="16"/>
      <c r="UAG13" s="16"/>
      <c r="UAH13" s="16"/>
      <c r="UAI13" s="16"/>
      <c r="UAJ13" s="16"/>
      <c r="UAK13" s="16"/>
      <c r="UAL13" s="16"/>
      <c r="UAM13" s="16"/>
      <c r="UAN13" s="16"/>
      <c r="UAO13" s="16"/>
      <c r="UAP13" s="16"/>
      <c r="UAQ13" s="16"/>
      <c r="UAR13" s="16"/>
      <c r="UAS13" s="16"/>
      <c r="UAT13" s="16"/>
      <c r="UAU13" s="16"/>
      <c r="UAV13" s="16"/>
      <c r="UAW13" s="16"/>
      <c r="UAX13" s="16"/>
      <c r="UAY13" s="16"/>
      <c r="UAZ13" s="16"/>
      <c r="UBA13" s="16"/>
      <c r="UBB13" s="16"/>
      <c r="UBC13" s="16"/>
      <c r="UBD13" s="16"/>
      <c r="UBE13" s="16"/>
      <c r="UBF13" s="16"/>
      <c r="UBG13" s="16"/>
      <c r="UBH13" s="16"/>
      <c r="UBI13" s="16"/>
      <c r="UBJ13" s="16"/>
      <c r="UBK13" s="16"/>
      <c r="UBL13" s="16"/>
      <c r="UBM13" s="16"/>
      <c r="UBN13" s="16"/>
      <c r="UBO13" s="16"/>
      <c r="UBP13" s="16"/>
      <c r="UBQ13" s="16"/>
      <c r="UBR13" s="16"/>
      <c r="UBS13" s="16"/>
      <c r="UBT13" s="16"/>
      <c r="UBU13" s="16"/>
      <c r="UBV13" s="16"/>
      <c r="UBW13" s="16"/>
      <c r="UBX13" s="16"/>
      <c r="UBY13" s="16"/>
      <c r="UBZ13" s="16"/>
      <c r="UCA13" s="16"/>
      <c r="UCB13" s="16"/>
      <c r="UCC13" s="16"/>
      <c r="UCD13" s="16"/>
      <c r="UCE13" s="16"/>
      <c r="UCF13" s="16"/>
      <c r="UCG13" s="16"/>
      <c r="UCH13" s="16"/>
      <c r="UCI13" s="16"/>
      <c r="UCJ13" s="16"/>
      <c r="UCK13" s="16"/>
      <c r="UCL13" s="16"/>
      <c r="UCM13" s="16"/>
      <c r="UCN13" s="16"/>
      <c r="UCO13" s="16"/>
      <c r="UCP13" s="16"/>
      <c r="UCQ13" s="16"/>
      <c r="UCR13" s="16"/>
      <c r="UCS13" s="16"/>
      <c r="UCT13" s="16"/>
      <c r="UCU13" s="16"/>
      <c r="UCV13" s="16"/>
      <c r="UCW13" s="16"/>
      <c r="UCX13" s="16"/>
      <c r="UCY13" s="16"/>
      <c r="UCZ13" s="16"/>
      <c r="UDA13" s="16"/>
      <c r="UDB13" s="16"/>
      <c r="UDC13" s="16"/>
      <c r="UDD13" s="16"/>
      <c r="UDE13" s="16"/>
      <c r="UDF13" s="16"/>
      <c r="UDG13" s="16"/>
      <c r="UDH13" s="16"/>
      <c r="UDI13" s="16"/>
      <c r="UDJ13" s="16"/>
      <c r="UDK13" s="16"/>
      <c r="UDL13" s="16"/>
      <c r="UDM13" s="16"/>
      <c r="UDN13" s="16"/>
      <c r="UDO13" s="16"/>
      <c r="UDP13" s="16"/>
      <c r="UDQ13" s="16"/>
      <c r="UDR13" s="16"/>
      <c r="UDS13" s="16"/>
      <c r="UDT13" s="16"/>
      <c r="UDU13" s="16"/>
      <c r="UDV13" s="16"/>
      <c r="UDW13" s="16"/>
      <c r="UDX13" s="16"/>
      <c r="UDY13" s="16"/>
      <c r="UDZ13" s="16"/>
      <c r="UEA13" s="16"/>
      <c r="UEB13" s="16"/>
      <c r="UEC13" s="16"/>
      <c r="UED13" s="16"/>
      <c r="UEE13" s="16"/>
      <c r="UEF13" s="16"/>
      <c r="UEG13" s="16"/>
      <c r="UEH13" s="16"/>
      <c r="UEI13" s="16"/>
      <c r="UEJ13" s="16"/>
      <c r="UEK13" s="16"/>
      <c r="UEL13" s="16"/>
      <c r="UEM13" s="16"/>
      <c r="UEN13" s="16"/>
      <c r="UEO13" s="16"/>
      <c r="UEP13" s="16"/>
      <c r="UEQ13" s="16"/>
      <c r="UER13" s="16"/>
      <c r="UES13" s="16"/>
      <c r="UET13" s="16"/>
      <c r="UEU13" s="16"/>
      <c r="UEV13" s="16"/>
      <c r="UEW13" s="16"/>
      <c r="UEX13" s="16"/>
      <c r="UEY13" s="16"/>
      <c r="UEZ13" s="16"/>
      <c r="UFA13" s="16"/>
      <c r="UFB13" s="16"/>
      <c r="UFC13" s="16"/>
      <c r="UFD13" s="16"/>
      <c r="UFE13" s="16"/>
      <c r="UFF13" s="16"/>
      <c r="UFG13" s="16"/>
      <c r="UFH13" s="16"/>
      <c r="UFI13" s="16"/>
      <c r="UFJ13" s="16"/>
      <c r="UFK13" s="16"/>
      <c r="UFL13" s="16"/>
      <c r="UFM13" s="16"/>
      <c r="UFN13" s="16"/>
      <c r="UFO13" s="16"/>
      <c r="UFP13" s="16"/>
      <c r="UFQ13" s="16"/>
      <c r="UFR13" s="16"/>
      <c r="UFS13" s="16"/>
      <c r="UFT13" s="16"/>
      <c r="UFU13" s="16"/>
      <c r="UFV13" s="16"/>
      <c r="UFW13" s="16"/>
      <c r="UFX13" s="16"/>
      <c r="UFY13" s="16"/>
      <c r="UFZ13" s="16"/>
      <c r="UGA13" s="16"/>
      <c r="UGB13" s="16"/>
      <c r="UGC13" s="16"/>
      <c r="UGD13" s="16"/>
      <c r="UGE13" s="16"/>
      <c r="UGF13" s="16"/>
      <c r="UGG13" s="16"/>
      <c r="UGH13" s="16"/>
      <c r="UGI13" s="16"/>
      <c r="UGJ13" s="16"/>
      <c r="UGK13" s="16"/>
      <c r="UGL13" s="16"/>
      <c r="UGM13" s="16"/>
      <c r="UGN13" s="16"/>
      <c r="UGO13" s="16"/>
      <c r="UGP13" s="16"/>
      <c r="UGQ13" s="16"/>
      <c r="UGR13" s="16"/>
      <c r="UGS13" s="16"/>
      <c r="UGT13" s="16"/>
      <c r="UGU13" s="16"/>
      <c r="UGV13" s="16"/>
      <c r="UGW13" s="16"/>
      <c r="UGX13" s="16"/>
      <c r="UGY13" s="16"/>
      <c r="UGZ13" s="16"/>
      <c r="UHA13" s="16"/>
      <c r="UHB13" s="16"/>
      <c r="UHC13" s="16"/>
      <c r="UHD13" s="16"/>
      <c r="UHE13" s="16"/>
      <c r="UHF13" s="16"/>
      <c r="UHG13" s="16"/>
      <c r="UHH13" s="16"/>
      <c r="UHI13" s="16"/>
      <c r="UHJ13" s="16"/>
      <c r="UHK13" s="16"/>
      <c r="UHL13" s="16"/>
      <c r="UHM13" s="16"/>
      <c r="UHN13" s="16"/>
      <c r="UHO13" s="16"/>
      <c r="UHP13" s="16"/>
      <c r="UHQ13" s="16"/>
      <c r="UHR13" s="16"/>
      <c r="UHS13" s="16"/>
      <c r="UHT13" s="16"/>
      <c r="UHU13" s="16"/>
      <c r="UHV13" s="16"/>
      <c r="UHW13" s="16"/>
      <c r="UHX13" s="16"/>
      <c r="UHY13" s="16"/>
      <c r="UHZ13" s="16"/>
      <c r="UIA13" s="16"/>
      <c r="UIB13" s="16"/>
      <c r="UIC13" s="16"/>
      <c r="UID13" s="16"/>
      <c r="UIE13" s="16"/>
      <c r="UIF13" s="16"/>
      <c r="UIG13" s="16"/>
      <c r="UIH13" s="16"/>
      <c r="UII13" s="16"/>
      <c r="UIJ13" s="16"/>
      <c r="UIK13" s="16"/>
      <c r="UIL13" s="16"/>
      <c r="UIM13" s="16"/>
      <c r="UIN13" s="16"/>
      <c r="UIO13" s="16"/>
      <c r="UIP13" s="16"/>
      <c r="UIQ13" s="16"/>
      <c r="UIR13" s="16"/>
      <c r="UIS13" s="16"/>
      <c r="UIT13" s="16"/>
      <c r="UIU13" s="16"/>
      <c r="UIV13" s="16"/>
      <c r="UIW13" s="16"/>
      <c r="UIX13" s="16"/>
      <c r="UIY13" s="16"/>
      <c r="UIZ13" s="16"/>
      <c r="UJA13" s="16"/>
      <c r="UJB13" s="16"/>
      <c r="UJC13" s="16"/>
      <c r="UJD13" s="16"/>
      <c r="UJE13" s="16"/>
      <c r="UJF13" s="16"/>
      <c r="UJG13" s="16"/>
      <c r="UJH13" s="16"/>
      <c r="UJI13" s="16"/>
      <c r="UJJ13" s="16"/>
      <c r="UJK13" s="16"/>
      <c r="UJL13" s="16"/>
      <c r="UJM13" s="16"/>
      <c r="UJN13" s="16"/>
      <c r="UJO13" s="16"/>
      <c r="UJP13" s="16"/>
      <c r="UJQ13" s="16"/>
      <c r="UJR13" s="16"/>
      <c r="UJS13" s="16"/>
      <c r="UJT13" s="16"/>
      <c r="UJU13" s="16"/>
      <c r="UJV13" s="16"/>
      <c r="UJW13" s="16"/>
      <c r="UJX13" s="16"/>
      <c r="UJY13" s="16"/>
      <c r="UJZ13" s="16"/>
      <c r="UKA13" s="16"/>
      <c r="UKB13" s="16"/>
      <c r="UKC13" s="16"/>
      <c r="UKD13" s="16"/>
      <c r="UKE13" s="16"/>
      <c r="UKF13" s="16"/>
      <c r="UKG13" s="16"/>
      <c r="UKH13" s="16"/>
      <c r="UKI13" s="16"/>
      <c r="UKJ13" s="16"/>
      <c r="UKK13" s="16"/>
      <c r="UKL13" s="16"/>
      <c r="UKM13" s="16"/>
      <c r="UKN13" s="16"/>
      <c r="UKO13" s="16"/>
      <c r="UKP13" s="16"/>
      <c r="UKQ13" s="16"/>
      <c r="UKR13" s="16"/>
      <c r="UKS13" s="16"/>
      <c r="UKT13" s="16"/>
      <c r="UKU13" s="16"/>
      <c r="UKV13" s="16"/>
      <c r="UKW13" s="16"/>
      <c r="UKX13" s="16"/>
      <c r="UKY13" s="16"/>
      <c r="UKZ13" s="16"/>
      <c r="ULA13" s="16"/>
      <c r="ULB13" s="16"/>
      <c r="ULC13" s="16"/>
      <c r="ULD13" s="16"/>
      <c r="ULE13" s="16"/>
      <c r="ULF13" s="16"/>
      <c r="ULG13" s="16"/>
      <c r="ULH13" s="16"/>
      <c r="ULI13" s="16"/>
      <c r="ULJ13" s="16"/>
      <c r="ULK13" s="16"/>
      <c r="ULL13" s="16"/>
      <c r="ULM13" s="16"/>
      <c r="ULN13" s="16"/>
      <c r="ULO13" s="16"/>
      <c r="ULP13" s="16"/>
      <c r="ULQ13" s="16"/>
      <c r="ULR13" s="16"/>
      <c r="ULS13" s="16"/>
      <c r="ULT13" s="16"/>
      <c r="ULU13" s="16"/>
      <c r="ULV13" s="16"/>
      <c r="ULW13" s="16"/>
      <c r="ULX13" s="16"/>
      <c r="ULY13" s="16"/>
      <c r="ULZ13" s="16"/>
      <c r="UMA13" s="16"/>
      <c r="UMB13" s="16"/>
      <c r="UMC13" s="16"/>
      <c r="UMD13" s="16"/>
      <c r="UME13" s="16"/>
      <c r="UMF13" s="16"/>
      <c r="UMG13" s="16"/>
      <c r="UMH13" s="16"/>
      <c r="UMI13" s="16"/>
      <c r="UMJ13" s="16"/>
      <c r="UMK13" s="16"/>
      <c r="UML13" s="16"/>
      <c r="UMM13" s="16"/>
      <c r="UMN13" s="16"/>
      <c r="UMO13" s="16"/>
      <c r="UMP13" s="16"/>
      <c r="UMQ13" s="16"/>
      <c r="UMR13" s="16"/>
      <c r="UMS13" s="16"/>
      <c r="UMT13" s="16"/>
      <c r="UMU13" s="16"/>
      <c r="UMV13" s="16"/>
      <c r="UMW13" s="16"/>
      <c r="UMX13" s="16"/>
      <c r="UMY13" s="16"/>
      <c r="UMZ13" s="16"/>
      <c r="UNA13" s="16"/>
      <c r="UNB13" s="16"/>
      <c r="UNC13" s="16"/>
      <c r="UND13" s="16"/>
      <c r="UNE13" s="16"/>
      <c r="UNF13" s="16"/>
      <c r="UNG13" s="16"/>
      <c r="UNH13" s="16"/>
      <c r="UNI13" s="16"/>
      <c r="UNJ13" s="16"/>
      <c r="UNK13" s="16"/>
      <c r="UNL13" s="16"/>
      <c r="UNM13" s="16"/>
      <c r="UNN13" s="16"/>
      <c r="UNO13" s="16"/>
      <c r="UNP13" s="16"/>
      <c r="UNQ13" s="16"/>
      <c r="UNR13" s="16"/>
      <c r="UNS13" s="16"/>
      <c r="UNT13" s="16"/>
      <c r="UNU13" s="16"/>
      <c r="UNV13" s="16"/>
      <c r="UNW13" s="16"/>
      <c r="UNX13" s="16"/>
      <c r="UNY13" s="16"/>
      <c r="UNZ13" s="16"/>
      <c r="UOA13" s="16"/>
      <c r="UOB13" s="16"/>
      <c r="UOC13" s="16"/>
      <c r="UOD13" s="16"/>
      <c r="UOE13" s="16"/>
      <c r="UOF13" s="16"/>
      <c r="UOG13" s="16"/>
      <c r="UOH13" s="16"/>
      <c r="UOI13" s="16"/>
      <c r="UOJ13" s="16"/>
      <c r="UOK13" s="16"/>
      <c r="UOL13" s="16"/>
      <c r="UOM13" s="16"/>
      <c r="UON13" s="16"/>
      <c r="UOO13" s="16"/>
      <c r="UOP13" s="16"/>
      <c r="UOQ13" s="16"/>
      <c r="UOR13" s="16"/>
      <c r="UOS13" s="16"/>
      <c r="UOT13" s="16"/>
      <c r="UOU13" s="16"/>
      <c r="UOV13" s="16"/>
      <c r="UOW13" s="16"/>
      <c r="UOX13" s="16"/>
      <c r="UOY13" s="16"/>
      <c r="UOZ13" s="16"/>
      <c r="UPA13" s="16"/>
      <c r="UPB13" s="16"/>
      <c r="UPC13" s="16"/>
      <c r="UPD13" s="16"/>
      <c r="UPE13" s="16"/>
      <c r="UPF13" s="16"/>
      <c r="UPG13" s="16"/>
      <c r="UPH13" s="16"/>
      <c r="UPI13" s="16"/>
      <c r="UPJ13" s="16"/>
      <c r="UPK13" s="16"/>
      <c r="UPL13" s="16"/>
      <c r="UPM13" s="16"/>
      <c r="UPN13" s="16"/>
      <c r="UPO13" s="16"/>
      <c r="UPP13" s="16"/>
      <c r="UPQ13" s="16"/>
      <c r="UPR13" s="16"/>
      <c r="UPS13" s="16"/>
      <c r="UPT13" s="16"/>
      <c r="UPU13" s="16"/>
      <c r="UPV13" s="16"/>
      <c r="UPW13" s="16"/>
      <c r="UPX13" s="16"/>
      <c r="UPY13" s="16"/>
      <c r="UPZ13" s="16"/>
      <c r="UQA13" s="16"/>
      <c r="UQB13" s="16"/>
      <c r="UQC13" s="16"/>
      <c r="UQD13" s="16"/>
      <c r="UQE13" s="16"/>
      <c r="UQF13" s="16"/>
      <c r="UQG13" s="16"/>
      <c r="UQH13" s="16"/>
      <c r="UQI13" s="16"/>
      <c r="UQJ13" s="16"/>
      <c r="UQK13" s="16"/>
      <c r="UQL13" s="16"/>
      <c r="UQM13" s="16"/>
      <c r="UQN13" s="16"/>
      <c r="UQO13" s="16"/>
      <c r="UQP13" s="16"/>
      <c r="UQQ13" s="16"/>
      <c r="UQR13" s="16"/>
      <c r="UQS13" s="16"/>
      <c r="UQT13" s="16"/>
      <c r="UQU13" s="16"/>
      <c r="UQV13" s="16"/>
      <c r="UQW13" s="16"/>
      <c r="UQX13" s="16"/>
      <c r="UQY13" s="16"/>
      <c r="UQZ13" s="16"/>
      <c r="URA13" s="16"/>
      <c r="URB13" s="16"/>
      <c r="URC13" s="16"/>
      <c r="URD13" s="16"/>
      <c r="URE13" s="16"/>
      <c r="URF13" s="16"/>
      <c r="URG13" s="16"/>
      <c r="URH13" s="16"/>
      <c r="URI13" s="16"/>
      <c r="URJ13" s="16"/>
      <c r="URK13" s="16"/>
      <c r="URL13" s="16"/>
      <c r="URM13" s="16"/>
      <c r="URN13" s="16"/>
      <c r="URO13" s="16"/>
      <c r="URP13" s="16"/>
      <c r="URQ13" s="16"/>
      <c r="URR13" s="16"/>
      <c r="URS13" s="16"/>
      <c r="URT13" s="16"/>
      <c r="URU13" s="16"/>
      <c r="URV13" s="16"/>
      <c r="URW13" s="16"/>
      <c r="URX13" s="16"/>
      <c r="URY13" s="16"/>
      <c r="URZ13" s="16"/>
      <c r="USA13" s="16"/>
      <c r="USB13" s="16"/>
      <c r="USC13" s="16"/>
      <c r="USD13" s="16"/>
      <c r="USE13" s="16"/>
      <c r="USF13" s="16"/>
      <c r="USG13" s="16"/>
      <c r="USH13" s="16"/>
      <c r="USI13" s="16"/>
      <c r="USJ13" s="16"/>
      <c r="USK13" s="16"/>
      <c r="USL13" s="16"/>
      <c r="USM13" s="16"/>
      <c r="USN13" s="16"/>
      <c r="USO13" s="16"/>
      <c r="USP13" s="16"/>
      <c r="USQ13" s="16"/>
      <c r="USR13" s="16"/>
      <c r="USS13" s="16"/>
      <c r="UST13" s="16"/>
      <c r="USU13" s="16"/>
      <c r="USV13" s="16"/>
      <c r="USW13" s="16"/>
      <c r="USX13" s="16"/>
      <c r="USY13" s="16"/>
      <c r="USZ13" s="16"/>
      <c r="UTA13" s="16"/>
      <c r="UTB13" s="16"/>
      <c r="UTC13" s="16"/>
      <c r="UTD13" s="16"/>
      <c r="UTE13" s="16"/>
      <c r="UTF13" s="16"/>
      <c r="UTG13" s="16"/>
      <c r="UTH13" s="16"/>
      <c r="UTI13" s="16"/>
      <c r="UTJ13" s="16"/>
      <c r="UTK13" s="16"/>
      <c r="UTL13" s="16"/>
      <c r="UTM13" s="16"/>
      <c r="UTN13" s="16"/>
      <c r="UTO13" s="16"/>
      <c r="UTP13" s="16"/>
      <c r="UTQ13" s="16"/>
      <c r="UTR13" s="16"/>
      <c r="UTS13" s="16"/>
      <c r="UTT13" s="16"/>
      <c r="UTU13" s="16"/>
      <c r="UTV13" s="16"/>
      <c r="UTW13" s="16"/>
      <c r="UTX13" s="16"/>
      <c r="UTY13" s="16"/>
      <c r="UTZ13" s="16"/>
      <c r="UUA13" s="16"/>
      <c r="UUB13" s="16"/>
      <c r="UUC13" s="16"/>
      <c r="UUD13" s="16"/>
      <c r="UUE13" s="16"/>
      <c r="UUF13" s="16"/>
      <c r="UUG13" s="16"/>
      <c r="UUH13" s="16"/>
      <c r="UUI13" s="16"/>
      <c r="UUJ13" s="16"/>
      <c r="UUK13" s="16"/>
      <c r="UUL13" s="16"/>
      <c r="UUM13" s="16"/>
      <c r="UUN13" s="16"/>
      <c r="UUO13" s="16"/>
      <c r="UUP13" s="16"/>
      <c r="UUQ13" s="16"/>
      <c r="UUR13" s="16"/>
      <c r="UUS13" s="16"/>
      <c r="UUT13" s="16"/>
      <c r="UUU13" s="16"/>
      <c r="UUV13" s="16"/>
      <c r="UUW13" s="16"/>
      <c r="UUX13" s="16"/>
      <c r="UUY13" s="16"/>
      <c r="UUZ13" s="16"/>
      <c r="UVA13" s="16"/>
      <c r="UVB13" s="16"/>
      <c r="UVC13" s="16"/>
      <c r="UVD13" s="16"/>
      <c r="UVE13" s="16"/>
      <c r="UVF13" s="16"/>
      <c r="UVG13" s="16"/>
      <c r="UVH13" s="16"/>
      <c r="UVI13" s="16"/>
      <c r="UVJ13" s="16"/>
      <c r="UVK13" s="16"/>
      <c r="UVL13" s="16"/>
      <c r="UVM13" s="16"/>
      <c r="UVN13" s="16"/>
      <c r="UVO13" s="16"/>
      <c r="UVP13" s="16"/>
      <c r="UVQ13" s="16"/>
      <c r="UVR13" s="16"/>
      <c r="UVS13" s="16"/>
      <c r="UVT13" s="16"/>
      <c r="UVU13" s="16"/>
      <c r="UVV13" s="16"/>
      <c r="UVW13" s="16"/>
      <c r="UVX13" s="16"/>
      <c r="UVY13" s="16"/>
      <c r="UVZ13" s="16"/>
      <c r="UWA13" s="16"/>
      <c r="UWB13" s="16"/>
      <c r="UWC13" s="16"/>
      <c r="UWD13" s="16"/>
      <c r="UWE13" s="16"/>
      <c r="UWF13" s="16"/>
      <c r="UWG13" s="16"/>
      <c r="UWH13" s="16"/>
      <c r="UWI13" s="16"/>
      <c r="UWJ13" s="16"/>
      <c r="UWK13" s="16"/>
      <c r="UWL13" s="16"/>
      <c r="UWM13" s="16"/>
      <c r="UWN13" s="16"/>
      <c r="UWO13" s="16"/>
      <c r="UWP13" s="16"/>
      <c r="UWQ13" s="16"/>
      <c r="UWR13" s="16"/>
      <c r="UWS13" s="16"/>
      <c r="UWT13" s="16"/>
      <c r="UWU13" s="16"/>
      <c r="UWV13" s="16"/>
      <c r="UWW13" s="16"/>
      <c r="UWX13" s="16"/>
      <c r="UWY13" s="16"/>
      <c r="UWZ13" s="16"/>
      <c r="UXA13" s="16"/>
      <c r="UXB13" s="16"/>
      <c r="UXC13" s="16"/>
      <c r="UXD13" s="16"/>
      <c r="UXE13" s="16"/>
      <c r="UXF13" s="16"/>
      <c r="UXG13" s="16"/>
      <c r="UXH13" s="16"/>
      <c r="UXI13" s="16"/>
      <c r="UXJ13" s="16"/>
      <c r="UXK13" s="16"/>
      <c r="UXL13" s="16"/>
      <c r="UXM13" s="16"/>
      <c r="UXN13" s="16"/>
      <c r="UXO13" s="16"/>
      <c r="UXP13" s="16"/>
      <c r="UXQ13" s="16"/>
      <c r="UXR13" s="16"/>
      <c r="UXS13" s="16"/>
      <c r="UXT13" s="16"/>
      <c r="UXU13" s="16"/>
      <c r="UXV13" s="16"/>
      <c r="UXW13" s="16"/>
      <c r="UXX13" s="16"/>
      <c r="UXY13" s="16"/>
      <c r="UXZ13" s="16"/>
      <c r="UYA13" s="16"/>
      <c r="UYB13" s="16"/>
      <c r="UYC13" s="16"/>
      <c r="UYD13" s="16"/>
      <c r="UYE13" s="16"/>
      <c r="UYF13" s="16"/>
      <c r="UYG13" s="16"/>
      <c r="UYH13" s="16"/>
      <c r="UYI13" s="16"/>
      <c r="UYJ13" s="16"/>
      <c r="UYK13" s="16"/>
      <c r="UYL13" s="16"/>
      <c r="UYM13" s="16"/>
      <c r="UYN13" s="16"/>
      <c r="UYO13" s="16"/>
      <c r="UYP13" s="16"/>
      <c r="UYQ13" s="16"/>
      <c r="UYR13" s="16"/>
      <c r="UYS13" s="16"/>
      <c r="UYT13" s="16"/>
      <c r="UYU13" s="16"/>
      <c r="UYV13" s="16"/>
      <c r="UYW13" s="16"/>
      <c r="UYX13" s="16"/>
      <c r="UYY13" s="16"/>
      <c r="UYZ13" s="16"/>
      <c r="UZA13" s="16"/>
      <c r="UZB13" s="16"/>
      <c r="UZC13" s="16"/>
      <c r="UZD13" s="16"/>
      <c r="UZE13" s="16"/>
      <c r="UZF13" s="16"/>
      <c r="UZG13" s="16"/>
      <c r="UZH13" s="16"/>
      <c r="UZI13" s="16"/>
      <c r="UZJ13" s="16"/>
      <c r="UZK13" s="16"/>
      <c r="UZL13" s="16"/>
      <c r="UZM13" s="16"/>
      <c r="UZN13" s="16"/>
      <c r="UZO13" s="16"/>
      <c r="UZP13" s="16"/>
      <c r="UZQ13" s="16"/>
      <c r="UZR13" s="16"/>
      <c r="UZS13" s="16"/>
      <c r="UZT13" s="16"/>
      <c r="UZU13" s="16"/>
      <c r="UZV13" s="16"/>
      <c r="UZW13" s="16"/>
      <c r="UZX13" s="16"/>
      <c r="UZY13" s="16"/>
      <c r="UZZ13" s="16"/>
      <c r="VAA13" s="16"/>
      <c r="VAB13" s="16"/>
      <c r="VAC13" s="16"/>
      <c r="VAD13" s="16"/>
      <c r="VAE13" s="16"/>
      <c r="VAF13" s="16"/>
      <c r="VAG13" s="16"/>
      <c r="VAH13" s="16"/>
      <c r="VAI13" s="16"/>
      <c r="VAJ13" s="16"/>
      <c r="VAK13" s="16"/>
      <c r="VAL13" s="16"/>
      <c r="VAM13" s="16"/>
      <c r="VAN13" s="16"/>
      <c r="VAO13" s="16"/>
      <c r="VAP13" s="16"/>
      <c r="VAQ13" s="16"/>
      <c r="VAR13" s="16"/>
      <c r="VAS13" s="16"/>
      <c r="VAT13" s="16"/>
      <c r="VAU13" s="16"/>
      <c r="VAV13" s="16"/>
      <c r="VAW13" s="16"/>
      <c r="VAX13" s="16"/>
      <c r="VAY13" s="16"/>
      <c r="VAZ13" s="16"/>
      <c r="VBA13" s="16"/>
      <c r="VBB13" s="16"/>
      <c r="VBC13" s="16"/>
      <c r="VBD13" s="16"/>
      <c r="VBE13" s="16"/>
      <c r="VBF13" s="16"/>
      <c r="VBG13" s="16"/>
      <c r="VBH13" s="16"/>
      <c r="VBI13" s="16"/>
      <c r="VBJ13" s="16"/>
      <c r="VBK13" s="16"/>
      <c r="VBL13" s="16"/>
      <c r="VBM13" s="16"/>
      <c r="VBN13" s="16"/>
      <c r="VBO13" s="16"/>
      <c r="VBP13" s="16"/>
      <c r="VBQ13" s="16"/>
      <c r="VBR13" s="16"/>
      <c r="VBS13" s="16"/>
      <c r="VBT13" s="16"/>
      <c r="VBU13" s="16"/>
      <c r="VBV13" s="16"/>
      <c r="VBW13" s="16"/>
      <c r="VBX13" s="16"/>
      <c r="VBY13" s="16"/>
      <c r="VBZ13" s="16"/>
      <c r="VCA13" s="16"/>
      <c r="VCB13" s="16"/>
      <c r="VCC13" s="16"/>
      <c r="VCD13" s="16"/>
      <c r="VCE13" s="16"/>
      <c r="VCF13" s="16"/>
      <c r="VCG13" s="16"/>
      <c r="VCH13" s="16"/>
      <c r="VCI13" s="16"/>
      <c r="VCJ13" s="16"/>
      <c r="VCK13" s="16"/>
      <c r="VCL13" s="16"/>
      <c r="VCM13" s="16"/>
      <c r="VCN13" s="16"/>
      <c r="VCO13" s="16"/>
      <c r="VCP13" s="16"/>
      <c r="VCQ13" s="16"/>
      <c r="VCR13" s="16"/>
      <c r="VCS13" s="16"/>
      <c r="VCT13" s="16"/>
      <c r="VCU13" s="16"/>
      <c r="VCV13" s="16"/>
      <c r="VCW13" s="16"/>
      <c r="VCX13" s="16"/>
      <c r="VCY13" s="16"/>
      <c r="VCZ13" s="16"/>
      <c r="VDA13" s="16"/>
      <c r="VDB13" s="16"/>
      <c r="VDC13" s="16"/>
      <c r="VDD13" s="16"/>
      <c r="VDE13" s="16"/>
      <c r="VDF13" s="16"/>
      <c r="VDG13" s="16"/>
      <c r="VDH13" s="16"/>
      <c r="VDI13" s="16"/>
      <c r="VDJ13" s="16"/>
      <c r="VDK13" s="16"/>
      <c r="VDL13" s="16"/>
      <c r="VDM13" s="16"/>
      <c r="VDN13" s="16"/>
      <c r="VDO13" s="16"/>
      <c r="VDP13" s="16"/>
      <c r="VDQ13" s="16"/>
      <c r="VDR13" s="16"/>
      <c r="VDS13" s="16"/>
      <c r="VDT13" s="16"/>
      <c r="VDU13" s="16"/>
      <c r="VDV13" s="16"/>
      <c r="VDW13" s="16"/>
      <c r="VDX13" s="16"/>
      <c r="VDY13" s="16"/>
      <c r="VDZ13" s="16"/>
      <c r="VEA13" s="16"/>
      <c r="VEB13" s="16"/>
      <c r="VEC13" s="16"/>
      <c r="VED13" s="16"/>
      <c r="VEE13" s="16"/>
      <c r="VEF13" s="16"/>
      <c r="VEG13" s="16"/>
      <c r="VEH13" s="16"/>
      <c r="VEI13" s="16"/>
      <c r="VEJ13" s="16"/>
      <c r="VEK13" s="16"/>
      <c r="VEL13" s="16"/>
      <c r="VEM13" s="16"/>
      <c r="VEN13" s="16"/>
      <c r="VEO13" s="16"/>
      <c r="VEP13" s="16"/>
      <c r="VEQ13" s="16"/>
      <c r="VER13" s="16"/>
      <c r="VES13" s="16"/>
      <c r="VET13" s="16"/>
      <c r="VEU13" s="16"/>
      <c r="VEV13" s="16"/>
      <c r="VEW13" s="16"/>
      <c r="VEX13" s="16"/>
      <c r="VEY13" s="16"/>
      <c r="VEZ13" s="16"/>
      <c r="VFA13" s="16"/>
      <c r="VFB13" s="16"/>
      <c r="VFC13" s="16"/>
      <c r="VFD13" s="16"/>
      <c r="VFE13" s="16"/>
      <c r="VFF13" s="16"/>
      <c r="VFG13" s="16"/>
      <c r="VFH13" s="16"/>
      <c r="VFI13" s="16"/>
      <c r="VFJ13" s="16"/>
      <c r="VFK13" s="16"/>
      <c r="VFL13" s="16"/>
      <c r="VFM13" s="16"/>
      <c r="VFN13" s="16"/>
      <c r="VFO13" s="16"/>
      <c r="VFP13" s="16"/>
      <c r="VFQ13" s="16"/>
      <c r="VFR13" s="16"/>
      <c r="VFS13" s="16"/>
      <c r="VFT13" s="16"/>
      <c r="VFU13" s="16"/>
      <c r="VFV13" s="16"/>
      <c r="VFW13" s="16"/>
      <c r="VFX13" s="16"/>
      <c r="VFY13" s="16"/>
      <c r="VFZ13" s="16"/>
      <c r="VGA13" s="16"/>
      <c r="VGB13" s="16"/>
      <c r="VGC13" s="16"/>
      <c r="VGD13" s="16"/>
      <c r="VGE13" s="16"/>
      <c r="VGF13" s="16"/>
      <c r="VGG13" s="16"/>
      <c r="VGH13" s="16"/>
      <c r="VGI13" s="16"/>
      <c r="VGJ13" s="16"/>
      <c r="VGK13" s="16"/>
      <c r="VGL13" s="16"/>
      <c r="VGM13" s="16"/>
      <c r="VGN13" s="16"/>
      <c r="VGO13" s="16"/>
      <c r="VGP13" s="16"/>
      <c r="VGQ13" s="16"/>
      <c r="VGR13" s="16"/>
      <c r="VGS13" s="16"/>
      <c r="VGT13" s="16"/>
      <c r="VGU13" s="16"/>
      <c r="VGV13" s="16"/>
      <c r="VGW13" s="16"/>
      <c r="VGX13" s="16"/>
      <c r="VGY13" s="16"/>
      <c r="VGZ13" s="16"/>
      <c r="VHA13" s="16"/>
      <c r="VHB13" s="16"/>
      <c r="VHC13" s="16"/>
      <c r="VHD13" s="16"/>
      <c r="VHE13" s="16"/>
      <c r="VHF13" s="16"/>
      <c r="VHG13" s="16"/>
      <c r="VHH13" s="16"/>
      <c r="VHI13" s="16"/>
      <c r="VHJ13" s="16"/>
      <c r="VHK13" s="16"/>
      <c r="VHL13" s="16"/>
      <c r="VHM13" s="16"/>
      <c r="VHN13" s="16"/>
      <c r="VHO13" s="16"/>
      <c r="VHP13" s="16"/>
      <c r="VHQ13" s="16"/>
      <c r="VHR13" s="16"/>
      <c r="VHS13" s="16"/>
      <c r="VHT13" s="16"/>
      <c r="VHU13" s="16"/>
      <c r="VHV13" s="16"/>
      <c r="VHW13" s="16"/>
      <c r="VHX13" s="16"/>
      <c r="VHY13" s="16"/>
      <c r="VHZ13" s="16"/>
      <c r="VIA13" s="16"/>
      <c r="VIB13" s="16"/>
      <c r="VIC13" s="16"/>
      <c r="VID13" s="16"/>
      <c r="VIE13" s="16"/>
      <c r="VIF13" s="16"/>
      <c r="VIG13" s="16"/>
      <c r="VIH13" s="16"/>
      <c r="VII13" s="16"/>
      <c r="VIJ13" s="16"/>
      <c r="VIK13" s="16"/>
      <c r="VIL13" s="16"/>
      <c r="VIM13" s="16"/>
      <c r="VIN13" s="16"/>
      <c r="VIO13" s="16"/>
      <c r="VIP13" s="16"/>
      <c r="VIQ13" s="16"/>
      <c r="VIR13" s="16"/>
      <c r="VIS13" s="16"/>
      <c r="VIT13" s="16"/>
      <c r="VIU13" s="16"/>
      <c r="VIV13" s="16"/>
      <c r="VIW13" s="16"/>
      <c r="VIX13" s="16"/>
      <c r="VIY13" s="16"/>
      <c r="VIZ13" s="16"/>
      <c r="VJA13" s="16"/>
      <c r="VJB13" s="16"/>
      <c r="VJC13" s="16"/>
      <c r="VJD13" s="16"/>
      <c r="VJE13" s="16"/>
      <c r="VJF13" s="16"/>
      <c r="VJG13" s="16"/>
      <c r="VJH13" s="16"/>
      <c r="VJI13" s="16"/>
      <c r="VJJ13" s="16"/>
      <c r="VJK13" s="16"/>
      <c r="VJL13" s="16"/>
      <c r="VJM13" s="16"/>
      <c r="VJN13" s="16"/>
      <c r="VJO13" s="16"/>
      <c r="VJP13" s="16"/>
      <c r="VJQ13" s="16"/>
      <c r="VJR13" s="16"/>
      <c r="VJS13" s="16"/>
      <c r="VJT13" s="16"/>
      <c r="VJU13" s="16"/>
      <c r="VJV13" s="16"/>
      <c r="VJW13" s="16"/>
      <c r="VJX13" s="16"/>
      <c r="VJY13" s="16"/>
      <c r="VJZ13" s="16"/>
      <c r="VKA13" s="16"/>
      <c r="VKB13" s="16"/>
      <c r="VKC13" s="16"/>
      <c r="VKD13" s="16"/>
      <c r="VKE13" s="16"/>
      <c r="VKF13" s="16"/>
      <c r="VKG13" s="16"/>
      <c r="VKH13" s="16"/>
      <c r="VKI13" s="16"/>
      <c r="VKJ13" s="16"/>
      <c r="VKK13" s="16"/>
      <c r="VKL13" s="16"/>
      <c r="VKM13" s="16"/>
      <c r="VKN13" s="16"/>
      <c r="VKO13" s="16"/>
      <c r="VKP13" s="16"/>
      <c r="VKQ13" s="16"/>
      <c r="VKR13" s="16"/>
      <c r="VKS13" s="16"/>
      <c r="VKT13" s="16"/>
      <c r="VKU13" s="16"/>
      <c r="VKV13" s="16"/>
      <c r="VKW13" s="16"/>
      <c r="VKX13" s="16"/>
      <c r="VKY13" s="16"/>
      <c r="VKZ13" s="16"/>
      <c r="VLA13" s="16"/>
      <c r="VLB13" s="16"/>
      <c r="VLC13" s="16"/>
      <c r="VLD13" s="16"/>
      <c r="VLE13" s="16"/>
      <c r="VLF13" s="16"/>
      <c r="VLG13" s="16"/>
      <c r="VLH13" s="16"/>
      <c r="VLI13" s="16"/>
      <c r="VLJ13" s="16"/>
      <c r="VLK13" s="16"/>
      <c r="VLL13" s="16"/>
      <c r="VLM13" s="16"/>
      <c r="VLN13" s="16"/>
      <c r="VLO13" s="16"/>
      <c r="VLP13" s="16"/>
      <c r="VLQ13" s="16"/>
      <c r="VLR13" s="16"/>
      <c r="VLS13" s="16"/>
      <c r="VLT13" s="16"/>
      <c r="VLU13" s="16"/>
      <c r="VLV13" s="16"/>
      <c r="VLW13" s="16"/>
      <c r="VLX13" s="16"/>
      <c r="VLY13" s="16"/>
      <c r="VLZ13" s="16"/>
      <c r="VMA13" s="16"/>
      <c r="VMB13" s="16"/>
      <c r="VMC13" s="16"/>
      <c r="VMD13" s="16"/>
      <c r="VME13" s="16"/>
      <c r="VMF13" s="16"/>
      <c r="VMG13" s="16"/>
      <c r="VMH13" s="16"/>
      <c r="VMI13" s="16"/>
      <c r="VMJ13" s="16"/>
      <c r="VMK13" s="16"/>
      <c r="VML13" s="16"/>
      <c r="VMM13" s="16"/>
      <c r="VMN13" s="16"/>
      <c r="VMO13" s="16"/>
      <c r="VMP13" s="16"/>
      <c r="VMQ13" s="16"/>
      <c r="VMR13" s="16"/>
      <c r="VMS13" s="16"/>
      <c r="VMT13" s="16"/>
      <c r="VMU13" s="16"/>
      <c r="VMV13" s="16"/>
      <c r="VMW13" s="16"/>
      <c r="VMX13" s="16"/>
      <c r="VMY13" s="16"/>
      <c r="VMZ13" s="16"/>
      <c r="VNA13" s="16"/>
      <c r="VNB13" s="16"/>
      <c r="VNC13" s="16"/>
      <c r="VND13" s="16"/>
      <c r="VNE13" s="16"/>
      <c r="VNF13" s="16"/>
      <c r="VNG13" s="16"/>
      <c r="VNH13" s="16"/>
      <c r="VNI13" s="16"/>
      <c r="VNJ13" s="16"/>
      <c r="VNK13" s="16"/>
      <c r="VNL13" s="16"/>
      <c r="VNM13" s="16"/>
      <c r="VNN13" s="16"/>
      <c r="VNO13" s="16"/>
      <c r="VNP13" s="16"/>
      <c r="VNQ13" s="16"/>
      <c r="VNR13" s="16"/>
      <c r="VNS13" s="16"/>
      <c r="VNT13" s="16"/>
      <c r="VNU13" s="16"/>
      <c r="VNV13" s="16"/>
      <c r="VNW13" s="16"/>
      <c r="VNX13" s="16"/>
      <c r="VNY13" s="16"/>
      <c r="VNZ13" s="16"/>
      <c r="VOA13" s="16"/>
      <c r="VOB13" s="16"/>
      <c r="VOC13" s="16"/>
      <c r="VOD13" s="16"/>
      <c r="VOE13" s="16"/>
      <c r="VOF13" s="16"/>
      <c r="VOG13" s="16"/>
      <c r="VOH13" s="16"/>
      <c r="VOI13" s="16"/>
      <c r="VOJ13" s="16"/>
      <c r="VOK13" s="16"/>
      <c r="VOL13" s="16"/>
      <c r="VOM13" s="16"/>
      <c r="VON13" s="16"/>
      <c r="VOO13" s="16"/>
      <c r="VOP13" s="16"/>
      <c r="VOQ13" s="16"/>
      <c r="VOR13" s="16"/>
      <c r="VOS13" s="16"/>
      <c r="VOT13" s="16"/>
      <c r="VOU13" s="16"/>
      <c r="VOV13" s="16"/>
      <c r="VOW13" s="16"/>
      <c r="VOX13" s="16"/>
      <c r="VOY13" s="16"/>
      <c r="VOZ13" s="16"/>
      <c r="VPA13" s="16"/>
      <c r="VPB13" s="16"/>
      <c r="VPC13" s="16"/>
      <c r="VPD13" s="16"/>
      <c r="VPE13" s="16"/>
      <c r="VPF13" s="16"/>
      <c r="VPG13" s="16"/>
      <c r="VPH13" s="16"/>
      <c r="VPI13" s="16"/>
      <c r="VPJ13" s="16"/>
      <c r="VPK13" s="16"/>
      <c r="VPL13" s="16"/>
      <c r="VPM13" s="16"/>
      <c r="VPN13" s="16"/>
      <c r="VPO13" s="16"/>
      <c r="VPP13" s="16"/>
      <c r="VPQ13" s="16"/>
      <c r="VPR13" s="16"/>
      <c r="VPS13" s="16"/>
      <c r="VPT13" s="16"/>
      <c r="VPU13" s="16"/>
      <c r="VPV13" s="16"/>
      <c r="VPW13" s="16"/>
      <c r="VPX13" s="16"/>
      <c r="VPY13" s="16"/>
      <c r="VPZ13" s="16"/>
      <c r="VQA13" s="16"/>
      <c r="VQB13" s="16"/>
      <c r="VQC13" s="16"/>
      <c r="VQD13" s="16"/>
      <c r="VQE13" s="16"/>
      <c r="VQF13" s="16"/>
      <c r="VQG13" s="16"/>
      <c r="VQH13" s="16"/>
      <c r="VQI13" s="16"/>
      <c r="VQJ13" s="16"/>
      <c r="VQK13" s="16"/>
      <c r="VQL13" s="16"/>
      <c r="VQM13" s="16"/>
      <c r="VQN13" s="16"/>
      <c r="VQO13" s="16"/>
      <c r="VQP13" s="16"/>
      <c r="VQQ13" s="16"/>
      <c r="VQR13" s="16"/>
      <c r="VQS13" s="16"/>
      <c r="VQT13" s="16"/>
      <c r="VQU13" s="16"/>
      <c r="VQV13" s="16"/>
      <c r="VQW13" s="16"/>
      <c r="VQX13" s="16"/>
      <c r="VQY13" s="16"/>
      <c r="VQZ13" s="16"/>
      <c r="VRA13" s="16"/>
      <c r="VRB13" s="16"/>
      <c r="VRC13" s="16"/>
      <c r="VRD13" s="16"/>
      <c r="VRE13" s="16"/>
      <c r="VRF13" s="16"/>
      <c r="VRG13" s="16"/>
      <c r="VRH13" s="16"/>
      <c r="VRI13" s="16"/>
      <c r="VRJ13" s="16"/>
      <c r="VRK13" s="16"/>
      <c r="VRL13" s="16"/>
      <c r="VRM13" s="16"/>
      <c r="VRN13" s="16"/>
      <c r="VRO13" s="16"/>
      <c r="VRP13" s="16"/>
      <c r="VRQ13" s="16"/>
      <c r="VRR13" s="16"/>
      <c r="VRS13" s="16"/>
      <c r="VRT13" s="16"/>
      <c r="VRU13" s="16"/>
      <c r="VRV13" s="16"/>
      <c r="VRW13" s="16"/>
      <c r="VRX13" s="16"/>
      <c r="VRY13" s="16"/>
      <c r="VRZ13" s="16"/>
      <c r="VSA13" s="16"/>
      <c r="VSB13" s="16"/>
      <c r="VSC13" s="16"/>
      <c r="VSD13" s="16"/>
      <c r="VSE13" s="16"/>
      <c r="VSF13" s="16"/>
      <c r="VSG13" s="16"/>
      <c r="VSH13" s="16"/>
      <c r="VSI13" s="16"/>
      <c r="VSJ13" s="16"/>
      <c r="VSK13" s="16"/>
      <c r="VSL13" s="16"/>
      <c r="VSM13" s="16"/>
      <c r="VSN13" s="16"/>
      <c r="VSO13" s="16"/>
      <c r="VSP13" s="16"/>
      <c r="VSQ13" s="16"/>
      <c r="VSR13" s="16"/>
      <c r="VSS13" s="16"/>
      <c r="VST13" s="16"/>
      <c r="VSU13" s="16"/>
      <c r="VSV13" s="16"/>
      <c r="VSW13" s="16"/>
      <c r="VSX13" s="16"/>
      <c r="VSY13" s="16"/>
      <c r="VSZ13" s="16"/>
      <c r="VTA13" s="16"/>
      <c r="VTB13" s="16"/>
      <c r="VTC13" s="16"/>
      <c r="VTD13" s="16"/>
      <c r="VTE13" s="16"/>
      <c r="VTF13" s="16"/>
      <c r="VTG13" s="16"/>
      <c r="VTH13" s="16"/>
      <c r="VTI13" s="16"/>
      <c r="VTJ13" s="16"/>
      <c r="VTK13" s="16"/>
      <c r="VTL13" s="16"/>
      <c r="VTM13" s="16"/>
      <c r="VTN13" s="16"/>
      <c r="VTO13" s="16"/>
      <c r="VTP13" s="16"/>
      <c r="VTQ13" s="16"/>
      <c r="VTR13" s="16"/>
      <c r="VTS13" s="16"/>
      <c r="VTT13" s="16"/>
      <c r="VTU13" s="16"/>
      <c r="VTV13" s="16"/>
      <c r="VTW13" s="16"/>
      <c r="VTX13" s="16"/>
      <c r="VTY13" s="16"/>
      <c r="VTZ13" s="16"/>
      <c r="VUA13" s="16"/>
      <c r="VUB13" s="16"/>
      <c r="VUC13" s="16"/>
      <c r="VUD13" s="16"/>
      <c r="VUE13" s="16"/>
      <c r="VUF13" s="16"/>
      <c r="VUG13" s="16"/>
      <c r="VUH13" s="16"/>
      <c r="VUI13" s="16"/>
      <c r="VUJ13" s="16"/>
      <c r="VUK13" s="16"/>
      <c r="VUL13" s="16"/>
      <c r="VUM13" s="16"/>
      <c r="VUN13" s="16"/>
      <c r="VUO13" s="16"/>
      <c r="VUP13" s="16"/>
      <c r="VUQ13" s="16"/>
      <c r="VUR13" s="16"/>
      <c r="VUS13" s="16"/>
      <c r="VUT13" s="16"/>
      <c r="VUU13" s="16"/>
      <c r="VUV13" s="16"/>
      <c r="VUW13" s="16"/>
      <c r="VUX13" s="16"/>
      <c r="VUY13" s="16"/>
      <c r="VUZ13" s="16"/>
      <c r="VVA13" s="16"/>
      <c r="VVB13" s="16"/>
      <c r="VVC13" s="16"/>
      <c r="VVD13" s="16"/>
      <c r="VVE13" s="16"/>
      <c r="VVF13" s="16"/>
      <c r="VVG13" s="16"/>
      <c r="VVH13" s="16"/>
      <c r="VVI13" s="16"/>
      <c r="VVJ13" s="16"/>
      <c r="VVK13" s="16"/>
      <c r="VVL13" s="16"/>
      <c r="VVM13" s="16"/>
      <c r="VVN13" s="16"/>
      <c r="VVO13" s="16"/>
      <c r="VVP13" s="16"/>
      <c r="VVQ13" s="16"/>
      <c r="VVR13" s="16"/>
      <c r="VVS13" s="16"/>
      <c r="VVT13" s="16"/>
      <c r="VVU13" s="16"/>
      <c r="VVV13" s="16"/>
      <c r="VVW13" s="16"/>
      <c r="VVX13" s="16"/>
      <c r="VVY13" s="16"/>
      <c r="VVZ13" s="16"/>
      <c r="VWA13" s="16"/>
      <c r="VWB13" s="16"/>
      <c r="VWC13" s="16"/>
      <c r="VWD13" s="16"/>
      <c r="VWE13" s="16"/>
      <c r="VWF13" s="16"/>
      <c r="VWG13" s="16"/>
      <c r="VWH13" s="16"/>
      <c r="VWI13" s="16"/>
      <c r="VWJ13" s="16"/>
      <c r="VWK13" s="16"/>
      <c r="VWL13" s="16"/>
      <c r="VWM13" s="16"/>
      <c r="VWN13" s="16"/>
      <c r="VWO13" s="16"/>
      <c r="VWP13" s="16"/>
      <c r="VWQ13" s="16"/>
      <c r="VWR13" s="16"/>
      <c r="VWS13" s="16"/>
      <c r="VWT13" s="16"/>
      <c r="VWU13" s="16"/>
      <c r="VWV13" s="16"/>
      <c r="VWW13" s="16"/>
      <c r="VWX13" s="16"/>
      <c r="VWY13" s="16"/>
      <c r="VWZ13" s="16"/>
      <c r="VXA13" s="16"/>
      <c r="VXB13" s="16"/>
      <c r="VXC13" s="16"/>
      <c r="VXD13" s="16"/>
      <c r="VXE13" s="16"/>
      <c r="VXF13" s="16"/>
      <c r="VXG13" s="16"/>
      <c r="VXH13" s="16"/>
      <c r="VXI13" s="16"/>
      <c r="VXJ13" s="16"/>
      <c r="VXK13" s="16"/>
      <c r="VXL13" s="16"/>
      <c r="VXM13" s="16"/>
      <c r="VXN13" s="16"/>
      <c r="VXO13" s="16"/>
      <c r="VXP13" s="16"/>
      <c r="VXQ13" s="16"/>
      <c r="VXR13" s="16"/>
      <c r="VXS13" s="16"/>
      <c r="VXT13" s="16"/>
      <c r="VXU13" s="16"/>
      <c r="VXV13" s="16"/>
      <c r="VXW13" s="16"/>
      <c r="VXX13" s="16"/>
      <c r="VXY13" s="16"/>
      <c r="VXZ13" s="16"/>
      <c r="VYA13" s="16"/>
      <c r="VYB13" s="16"/>
      <c r="VYC13" s="16"/>
      <c r="VYD13" s="16"/>
      <c r="VYE13" s="16"/>
      <c r="VYF13" s="16"/>
      <c r="VYG13" s="16"/>
      <c r="VYH13" s="16"/>
      <c r="VYI13" s="16"/>
      <c r="VYJ13" s="16"/>
      <c r="VYK13" s="16"/>
      <c r="VYL13" s="16"/>
      <c r="VYM13" s="16"/>
      <c r="VYN13" s="16"/>
      <c r="VYO13" s="16"/>
      <c r="VYP13" s="16"/>
      <c r="VYQ13" s="16"/>
      <c r="VYR13" s="16"/>
      <c r="VYS13" s="16"/>
      <c r="VYT13" s="16"/>
      <c r="VYU13" s="16"/>
      <c r="VYV13" s="16"/>
      <c r="VYW13" s="16"/>
      <c r="VYX13" s="16"/>
      <c r="VYY13" s="16"/>
      <c r="VYZ13" s="16"/>
      <c r="VZA13" s="16"/>
      <c r="VZB13" s="16"/>
      <c r="VZC13" s="16"/>
      <c r="VZD13" s="16"/>
      <c r="VZE13" s="16"/>
      <c r="VZF13" s="16"/>
      <c r="VZG13" s="16"/>
      <c r="VZH13" s="16"/>
      <c r="VZI13" s="16"/>
      <c r="VZJ13" s="16"/>
      <c r="VZK13" s="16"/>
      <c r="VZL13" s="16"/>
      <c r="VZM13" s="16"/>
      <c r="VZN13" s="16"/>
      <c r="VZO13" s="16"/>
      <c r="VZP13" s="16"/>
      <c r="VZQ13" s="16"/>
      <c r="VZR13" s="16"/>
      <c r="VZS13" s="16"/>
      <c r="VZT13" s="16"/>
      <c r="VZU13" s="16"/>
      <c r="VZV13" s="16"/>
      <c r="VZW13" s="16"/>
      <c r="VZX13" s="16"/>
      <c r="VZY13" s="16"/>
      <c r="VZZ13" s="16"/>
      <c r="WAA13" s="16"/>
      <c r="WAB13" s="16"/>
      <c r="WAC13" s="16"/>
      <c r="WAD13" s="16"/>
      <c r="WAE13" s="16"/>
      <c r="WAF13" s="16"/>
      <c r="WAG13" s="16"/>
      <c r="WAH13" s="16"/>
      <c r="WAI13" s="16"/>
      <c r="WAJ13" s="16"/>
      <c r="WAK13" s="16"/>
      <c r="WAL13" s="16"/>
      <c r="WAM13" s="16"/>
      <c r="WAN13" s="16"/>
      <c r="WAO13" s="16"/>
      <c r="WAP13" s="16"/>
      <c r="WAQ13" s="16"/>
      <c r="WAR13" s="16"/>
      <c r="WAS13" s="16"/>
      <c r="WAT13" s="16"/>
      <c r="WAU13" s="16"/>
      <c r="WAV13" s="16"/>
      <c r="WAW13" s="16"/>
      <c r="WAX13" s="16"/>
      <c r="WAY13" s="16"/>
      <c r="WAZ13" s="16"/>
      <c r="WBA13" s="16"/>
      <c r="WBB13" s="16"/>
      <c r="WBC13" s="16"/>
      <c r="WBD13" s="16"/>
      <c r="WBE13" s="16"/>
      <c r="WBF13" s="16"/>
      <c r="WBG13" s="16"/>
      <c r="WBH13" s="16"/>
      <c r="WBI13" s="16"/>
      <c r="WBJ13" s="16"/>
      <c r="WBK13" s="16"/>
      <c r="WBL13" s="16"/>
      <c r="WBM13" s="16"/>
      <c r="WBN13" s="16"/>
      <c r="WBO13" s="16"/>
      <c r="WBP13" s="16"/>
      <c r="WBQ13" s="16"/>
      <c r="WBR13" s="16"/>
      <c r="WBS13" s="16"/>
      <c r="WBT13" s="16"/>
      <c r="WBU13" s="16"/>
      <c r="WBV13" s="16"/>
      <c r="WBW13" s="16"/>
      <c r="WBX13" s="16"/>
      <c r="WBY13" s="16"/>
      <c r="WBZ13" s="16"/>
      <c r="WCA13" s="16"/>
      <c r="WCB13" s="16"/>
      <c r="WCC13" s="16"/>
      <c r="WCD13" s="16"/>
      <c r="WCE13" s="16"/>
      <c r="WCF13" s="16"/>
      <c r="WCG13" s="16"/>
      <c r="WCH13" s="16"/>
      <c r="WCI13" s="16"/>
      <c r="WCJ13" s="16"/>
      <c r="WCK13" s="16"/>
      <c r="WCL13" s="16"/>
      <c r="WCM13" s="16"/>
      <c r="WCN13" s="16"/>
      <c r="WCO13" s="16"/>
      <c r="WCP13" s="16"/>
      <c r="WCQ13" s="16"/>
      <c r="WCR13" s="16"/>
      <c r="WCS13" s="16"/>
      <c r="WCT13" s="16"/>
      <c r="WCU13" s="16"/>
      <c r="WCV13" s="16"/>
      <c r="WCW13" s="16"/>
      <c r="WCX13" s="16"/>
      <c r="WCY13" s="16"/>
      <c r="WCZ13" s="16"/>
      <c r="WDA13" s="16"/>
      <c r="WDB13" s="16"/>
      <c r="WDC13" s="16"/>
      <c r="WDD13" s="16"/>
      <c r="WDE13" s="16"/>
      <c r="WDF13" s="16"/>
      <c r="WDG13" s="16"/>
      <c r="WDH13" s="16"/>
      <c r="WDI13" s="16"/>
      <c r="WDJ13" s="16"/>
      <c r="WDK13" s="16"/>
      <c r="WDL13" s="16"/>
      <c r="WDM13" s="16"/>
      <c r="WDN13" s="16"/>
      <c r="WDO13" s="16"/>
      <c r="WDP13" s="16"/>
      <c r="WDQ13" s="16"/>
      <c r="WDR13" s="16"/>
      <c r="WDS13" s="16"/>
      <c r="WDT13" s="16"/>
      <c r="WDU13" s="16"/>
      <c r="WDV13" s="16"/>
      <c r="WDW13" s="16"/>
      <c r="WDX13" s="16"/>
      <c r="WDY13" s="16"/>
      <c r="WDZ13" s="16"/>
      <c r="WEA13" s="16"/>
      <c r="WEB13" s="16"/>
      <c r="WEC13" s="16"/>
      <c r="WED13" s="16"/>
      <c r="WEE13" s="16"/>
      <c r="WEF13" s="16"/>
      <c r="WEG13" s="16"/>
      <c r="WEH13" s="16"/>
      <c r="WEI13" s="16"/>
      <c r="WEJ13" s="16"/>
      <c r="WEK13" s="16"/>
      <c r="WEL13" s="16"/>
      <c r="WEM13" s="16"/>
      <c r="WEN13" s="16"/>
      <c r="WEO13" s="16"/>
      <c r="WEP13" s="16"/>
      <c r="WEQ13" s="16"/>
      <c r="WER13" s="16"/>
      <c r="WES13" s="16"/>
      <c r="WET13" s="16"/>
      <c r="WEU13" s="16"/>
      <c r="WEV13" s="16"/>
      <c r="WEW13" s="16"/>
      <c r="WEX13" s="16"/>
      <c r="WEY13" s="16"/>
      <c r="WEZ13" s="16"/>
      <c r="WFA13" s="16"/>
      <c r="WFB13" s="16"/>
      <c r="WFC13" s="16"/>
      <c r="WFD13" s="16"/>
      <c r="WFE13" s="16"/>
      <c r="WFF13" s="16"/>
      <c r="WFG13" s="16"/>
      <c r="WFH13" s="16"/>
      <c r="WFI13" s="16"/>
      <c r="WFJ13" s="16"/>
      <c r="WFK13" s="16"/>
      <c r="WFL13" s="16"/>
      <c r="WFM13" s="16"/>
      <c r="WFN13" s="16"/>
      <c r="WFO13" s="16"/>
      <c r="WFP13" s="16"/>
      <c r="WFQ13" s="16"/>
      <c r="WFR13" s="16"/>
      <c r="WFS13" s="16"/>
      <c r="WFT13" s="16"/>
      <c r="WFU13" s="16"/>
      <c r="WFV13" s="16"/>
      <c r="WFW13" s="16"/>
      <c r="WFX13" s="16"/>
      <c r="WFY13" s="16"/>
      <c r="WFZ13" s="16"/>
      <c r="WGA13" s="16"/>
      <c r="WGB13" s="16"/>
      <c r="WGC13" s="16"/>
      <c r="WGD13" s="16"/>
      <c r="WGE13" s="16"/>
      <c r="WGF13" s="16"/>
      <c r="WGG13" s="16"/>
      <c r="WGH13" s="16"/>
      <c r="WGI13" s="16"/>
      <c r="WGJ13" s="16"/>
      <c r="WGK13" s="16"/>
      <c r="WGL13" s="16"/>
      <c r="WGM13" s="16"/>
      <c r="WGN13" s="16"/>
      <c r="WGO13" s="16"/>
      <c r="WGP13" s="16"/>
      <c r="WGQ13" s="16"/>
      <c r="WGR13" s="16"/>
      <c r="WGS13" s="16"/>
      <c r="WGT13" s="16"/>
      <c r="WGU13" s="16"/>
      <c r="WGV13" s="16"/>
      <c r="WGW13" s="16"/>
      <c r="WGX13" s="16"/>
      <c r="WGY13" s="16"/>
      <c r="WGZ13" s="16"/>
      <c r="WHA13" s="16"/>
      <c r="WHB13" s="16"/>
      <c r="WHC13" s="16"/>
      <c r="WHD13" s="16"/>
      <c r="WHE13" s="16"/>
      <c r="WHF13" s="16"/>
      <c r="WHG13" s="16"/>
      <c r="WHH13" s="16"/>
      <c r="WHI13" s="16"/>
      <c r="WHJ13" s="16"/>
      <c r="WHK13" s="16"/>
      <c r="WHL13" s="16"/>
      <c r="WHM13" s="16"/>
      <c r="WHN13" s="16"/>
      <c r="WHO13" s="16"/>
      <c r="WHP13" s="16"/>
      <c r="WHQ13" s="16"/>
      <c r="WHR13" s="16"/>
      <c r="WHS13" s="16"/>
      <c r="WHT13" s="16"/>
      <c r="WHU13" s="16"/>
      <c r="WHV13" s="16"/>
      <c r="WHW13" s="16"/>
      <c r="WHX13" s="16"/>
      <c r="WHY13" s="16"/>
      <c r="WHZ13" s="16"/>
      <c r="WIA13" s="16"/>
      <c r="WIB13" s="16"/>
      <c r="WIC13" s="16"/>
      <c r="WID13" s="16"/>
      <c r="WIE13" s="16"/>
      <c r="WIF13" s="16"/>
      <c r="WIG13" s="16"/>
      <c r="WIH13" s="16"/>
      <c r="WII13" s="16"/>
      <c r="WIJ13" s="16"/>
      <c r="WIK13" s="16"/>
      <c r="WIL13" s="16"/>
      <c r="WIM13" s="16"/>
      <c r="WIN13" s="16"/>
      <c r="WIO13" s="16"/>
      <c r="WIP13" s="16"/>
      <c r="WIQ13" s="16"/>
      <c r="WIR13" s="16"/>
      <c r="WIS13" s="16"/>
      <c r="WIT13" s="16"/>
      <c r="WIU13" s="16"/>
      <c r="WIV13" s="16"/>
      <c r="WIW13" s="16"/>
      <c r="WIX13" s="16"/>
      <c r="WIY13" s="16"/>
      <c r="WIZ13" s="16"/>
      <c r="WJA13" s="16"/>
      <c r="WJB13" s="16"/>
      <c r="WJC13" s="16"/>
      <c r="WJD13" s="16"/>
      <c r="WJE13" s="16"/>
      <c r="WJF13" s="16"/>
      <c r="WJG13" s="16"/>
      <c r="WJH13" s="16"/>
      <c r="WJI13" s="16"/>
      <c r="WJJ13" s="16"/>
      <c r="WJK13" s="16"/>
      <c r="WJL13" s="16"/>
      <c r="WJM13" s="16"/>
      <c r="WJN13" s="16"/>
      <c r="WJO13" s="16"/>
      <c r="WJP13" s="16"/>
      <c r="WJQ13" s="16"/>
      <c r="WJR13" s="16"/>
      <c r="WJS13" s="16"/>
      <c r="WJT13" s="16"/>
      <c r="WJU13" s="16"/>
      <c r="WJV13" s="16"/>
      <c r="WJW13" s="16"/>
      <c r="WJX13" s="16"/>
      <c r="WJY13" s="16"/>
      <c r="WJZ13" s="16"/>
      <c r="WKA13" s="16"/>
      <c r="WKB13" s="16"/>
      <c r="WKC13" s="16"/>
      <c r="WKD13" s="16"/>
      <c r="WKE13" s="16"/>
      <c r="WKF13" s="16"/>
      <c r="WKG13" s="16"/>
      <c r="WKH13" s="16"/>
      <c r="WKI13" s="16"/>
      <c r="WKJ13" s="16"/>
      <c r="WKK13" s="16"/>
      <c r="WKL13" s="16"/>
      <c r="WKM13" s="16"/>
      <c r="WKN13" s="16"/>
      <c r="WKO13" s="16"/>
      <c r="WKP13" s="16"/>
      <c r="WKQ13" s="16"/>
      <c r="WKR13" s="16"/>
      <c r="WKS13" s="16"/>
      <c r="WKT13" s="16"/>
      <c r="WKU13" s="16"/>
      <c r="WKV13" s="16"/>
      <c r="WKW13" s="16"/>
      <c r="WKX13" s="16"/>
      <c r="WKY13" s="16"/>
      <c r="WKZ13" s="16"/>
      <c r="WLA13" s="16"/>
      <c r="WLB13" s="16"/>
      <c r="WLC13" s="16"/>
      <c r="WLD13" s="16"/>
      <c r="WLE13" s="16"/>
      <c r="WLF13" s="16"/>
      <c r="WLG13" s="16"/>
      <c r="WLH13" s="16"/>
      <c r="WLI13" s="16"/>
      <c r="WLJ13" s="16"/>
      <c r="WLK13" s="16"/>
      <c r="WLL13" s="16"/>
      <c r="WLM13" s="16"/>
      <c r="WLN13" s="16"/>
      <c r="WLO13" s="16"/>
      <c r="WLP13" s="16"/>
      <c r="WLQ13" s="16"/>
      <c r="WLR13" s="16"/>
      <c r="WLS13" s="16"/>
      <c r="WLT13" s="16"/>
      <c r="WLU13" s="16"/>
      <c r="WLV13" s="16"/>
      <c r="WLW13" s="16"/>
      <c r="WLX13" s="16"/>
      <c r="WLY13" s="16"/>
      <c r="WLZ13" s="16"/>
      <c r="WMA13" s="16"/>
      <c r="WMB13" s="16"/>
      <c r="WMC13" s="16"/>
      <c r="WMD13" s="16"/>
      <c r="WME13" s="16"/>
      <c r="WMF13" s="16"/>
      <c r="WMG13" s="16"/>
      <c r="WMH13" s="16"/>
      <c r="WMI13" s="16"/>
      <c r="WMJ13" s="16"/>
      <c r="WMK13" s="16"/>
      <c r="WML13" s="16"/>
      <c r="WMM13" s="16"/>
      <c r="WMN13" s="16"/>
      <c r="WMO13" s="16"/>
      <c r="WMP13" s="16"/>
      <c r="WMQ13" s="16"/>
      <c r="WMR13" s="16"/>
      <c r="WMS13" s="16"/>
      <c r="WMT13" s="16"/>
      <c r="WMU13" s="16"/>
      <c r="WMV13" s="16"/>
      <c r="WMW13" s="16"/>
      <c r="WMX13" s="16"/>
      <c r="WMY13" s="16"/>
      <c r="WMZ13" s="16"/>
      <c r="WNA13" s="16"/>
      <c r="WNB13" s="16"/>
      <c r="WNC13" s="16"/>
      <c r="WND13" s="16"/>
      <c r="WNE13" s="16"/>
      <c r="WNF13" s="16"/>
      <c r="WNG13" s="16"/>
      <c r="WNH13" s="16"/>
      <c r="WNI13" s="16"/>
      <c r="WNJ13" s="16"/>
      <c r="WNK13" s="16"/>
      <c r="WNL13" s="16"/>
      <c r="WNM13" s="16"/>
      <c r="WNN13" s="16"/>
      <c r="WNO13" s="16"/>
      <c r="WNP13" s="16"/>
      <c r="WNQ13" s="16"/>
      <c r="WNR13" s="16"/>
      <c r="WNS13" s="16"/>
      <c r="WNT13" s="16"/>
      <c r="WNU13" s="16"/>
      <c r="WNV13" s="16"/>
      <c r="WNW13" s="16"/>
      <c r="WNX13" s="16"/>
      <c r="WNY13" s="16"/>
      <c r="WNZ13" s="16"/>
      <c r="WOA13" s="16"/>
      <c r="WOB13" s="16"/>
      <c r="WOC13" s="16"/>
      <c r="WOD13" s="16"/>
      <c r="WOE13" s="16"/>
      <c r="WOF13" s="16"/>
      <c r="WOG13" s="16"/>
      <c r="WOH13" s="16"/>
      <c r="WOI13" s="16"/>
      <c r="WOJ13" s="16"/>
      <c r="WOK13" s="16"/>
      <c r="WOL13" s="16"/>
      <c r="WOM13" s="16"/>
      <c r="WON13" s="16"/>
      <c r="WOO13" s="16"/>
      <c r="WOP13" s="16"/>
      <c r="WOQ13" s="16"/>
      <c r="WOR13" s="16"/>
      <c r="WOS13" s="16"/>
      <c r="WOT13" s="16"/>
      <c r="WOU13" s="16"/>
      <c r="WOV13" s="16"/>
      <c r="WOW13" s="16"/>
      <c r="WOX13" s="16"/>
      <c r="WOY13" s="16"/>
      <c r="WOZ13" s="16"/>
      <c r="WPA13" s="16"/>
      <c r="WPB13" s="16"/>
      <c r="WPC13" s="16"/>
      <c r="WPD13" s="16"/>
      <c r="WPE13" s="16"/>
      <c r="WPF13" s="16"/>
      <c r="WPG13" s="16"/>
      <c r="WPH13" s="16"/>
      <c r="WPI13" s="16"/>
      <c r="WPJ13" s="16"/>
      <c r="WPK13" s="16"/>
      <c r="WPL13" s="16"/>
      <c r="WPM13" s="16"/>
      <c r="WPN13" s="16"/>
      <c r="WPO13" s="16"/>
      <c r="WPP13" s="16"/>
      <c r="WPQ13" s="16"/>
      <c r="WPR13" s="16"/>
      <c r="WPS13" s="16"/>
      <c r="WPT13" s="16"/>
      <c r="WPU13" s="16"/>
      <c r="WPV13" s="16"/>
      <c r="WPW13" s="16"/>
      <c r="WPX13" s="16"/>
      <c r="WPY13" s="16"/>
      <c r="WPZ13" s="16"/>
      <c r="WQA13" s="16"/>
      <c r="WQB13" s="16"/>
      <c r="WQC13" s="16"/>
      <c r="WQD13" s="16"/>
      <c r="WQE13" s="16"/>
      <c r="WQF13" s="16"/>
      <c r="WQG13" s="16"/>
      <c r="WQH13" s="16"/>
      <c r="WQI13" s="16"/>
      <c r="WQJ13" s="16"/>
      <c r="WQK13" s="16"/>
      <c r="WQL13" s="16"/>
      <c r="WQM13" s="16"/>
      <c r="WQN13" s="16"/>
      <c r="WQO13" s="16"/>
      <c r="WQP13" s="16"/>
      <c r="WQQ13" s="16"/>
      <c r="WQR13" s="16"/>
      <c r="WQS13" s="16"/>
      <c r="WQT13" s="16"/>
      <c r="WQU13" s="16"/>
      <c r="WQV13" s="16"/>
      <c r="WQW13" s="16"/>
      <c r="WQX13" s="16"/>
      <c r="WQY13" s="16"/>
      <c r="WQZ13" s="16"/>
      <c r="WRA13" s="16"/>
      <c r="WRB13" s="16"/>
      <c r="WRC13" s="16"/>
      <c r="WRD13" s="16"/>
      <c r="WRE13" s="16"/>
      <c r="WRF13" s="16"/>
      <c r="WRG13" s="16"/>
      <c r="WRH13" s="16"/>
      <c r="WRI13" s="16"/>
      <c r="WRJ13" s="16"/>
      <c r="WRK13" s="16"/>
      <c r="WRL13" s="16"/>
      <c r="WRM13" s="16"/>
      <c r="WRN13" s="16"/>
      <c r="WRO13" s="16"/>
      <c r="WRP13" s="16"/>
      <c r="WRQ13" s="16"/>
      <c r="WRR13" s="16"/>
      <c r="WRS13" s="16"/>
      <c r="WRT13" s="16"/>
      <c r="WRU13" s="16"/>
      <c r="WRV13" s="16"/>
      <c r="WRW13" s="16"/>
      <c r="WRX13" s="16"/>
      <c r="WRY13" s="16"/>
      <c r="WRZ13" s="16"/>
      <c r="WSA13" s="16"/>
      <c r="WSB13" s="16"/>
      <c r="WSC13" s="16"/>
      <c r="WSD13" s="16"/>
      <c r="WSE13" s="16"/>
      <c r="WSF13" s="16"/>
      <c r="WSG13" s="16"/>
      <c r="WSH13" s="16"/>
      <c r="WSI13" s="16"/>
      <c r="WSJ13" s="16"/>
      <c r="WSK13" s="16"/>
      <c r="WSL13" s="16"/>
      <c r="WSM13" s="16"/>
      <c r="WSN13" s="16"/>
      <c r="WSO13" s="16"/>
      <c r="WSP13" s="16"/>
      <c r="WSQ13" s="16"/>
      <c r="WSR13" s="16"/>
      <c r="WSS13" s="16"/>
      <c r="WST13" s="16"/>
      <c r="WSU13" s="16"/>
      <c r="WSV13" s="16"/>
      <c r="WSW13" s="16"/>
      <c r="WSX13" s="16"/>
      <c r="WSY13" s="16"/>
      <c r="WSZ13" s="16"/>
      <c r="WTA13" s="16"/>
      <c r="WTB13" s="16"/>
      <c r="WTC13" s="16"/>
      <c r="WTD13" s="16"/>
      <c r="WTE13" s="16"/>
      <c r="WTF13" s="16"/>
      <c r="WTG13" s="16"/>
      <c r="WTH13" s="16"/>
      <c r="WTI13" s="16"/>
      <c r="WTJ13" s="16"/>
      <c r="WTK13" s="16"/>
      <c r="WTL13" s="16"/>
      <c r="WTM13" s="16"/>
      <c r="WTN13" s="16"/>
      <c r="WTO13" s="16"/>
      <c r="WTP13" s="16"/>
      <c r="WTQ13" s="16"/>
      <c r="WTR13" s="16"/>
      <c r="WTS13" s="16"/>
      <c r="WTT13" s="16"/>
      <c r="WTU13" s="16"/>
      <c r="WTV13" s="16"/>
      <c r="WTW13" s="16"/>
      <c r="WTX13" s="16"/>
      <c r="WTY13" s="16"/>
      <c r="WTZ13" s="16"/>
      <c r="WUA13" s="16"/>
      <c r="WUB13" s="16"/>
      <c r="WUC13" s="16"/>
      <c r="WUD13" s="16"/>
      <c r="WUE13" s="16"/>
      <c r="WUF13" s="16"/>
      <c r="WUG13" s="16"/>
      <c r="WUH13" s="16"/>
      <c r="WUI13" s="16"/>
      <c r="WUJ13" s="16"/>
      <c r="WUK13" s="16"/>
      <c r="WUL13" s="16"/>
      <c r="WUM13" s="16"/>
      <c r="WUN13" s="16"/>
      <c r="WUO13" s="16"/>
      <c r="WUP13" s="16"/>
      <c r="WUQ13" s="16"/>
      <c r="WUR13" s="16"/>
      <c r="WUS13" s="16"/>
      <c r="WUT13" s="16"/>
      <c r="WUU13" s="16"/>
      <c r="WUV13" s="16"/>
      <c r="WUW13" s="16"/>
      <c r="WUX13" s="16"/>
      <c r="WUY13" s="16"/>
      <c r="WUZ13" s="16"/>
      <c r="WVA13" s="16"/>
      <c r="WVB13" s="16"/>
      <c r="WVC13" s="16"/>
      <c r="WVD13" s="16"/>
      <c r="WVE13" s="16"/>
      <c r="WVF13" s="16"/>
      <c r="WVG13" s="16"/>
      <c r="WVH13" s="16"/>
      <c r="WVI13" s="16"/>
      <c r="WVJ13" s="16"/>
      <c r="WVK13" s="16"/>
      <c r="WVL13" s="16"/>
      <c r="WVM13" s="16"/>
      <c r="WVN13" s="16"/>
      <c r="WVO13" s="16"/>
      <c r="WVP13" s="16"/>
      <c r="WVQ13" s="16"/>
      <c r="WVR13" s="16"/>
      <c r="WVS13" s="16"/>
      <c r="WVT13" s="16"/>
      <c r="WVU13" s="16"/>
      <c r="WVV13" s="16"/>
      <c r="WVW13" s="16"/>
      <c r="WVX13" s="16"/>
      <c r="WVY13" s="16"/>
      <c r="WVZ13" s="16"/>
      <c r="WWA13" s="16"/>
      <c r="WWB13" s="16"/>
      <c r="WWC13" s="16"/>
      <c r="WWD13" s="16"/>
      <c r="WWE13" s="16"/>
      <c r="WWF13" s="16"/>
      <c r="WWG13" s="16"/>
      <c r="WWH13" s="16"/>
      <c r="WWI13" s="16"/>
      <c r="WWJ13" s="16"/>
      <c r="WWK13" s="16"/>
      <c r="WWL13" s="16"/>
      <c r="WWM13" s="16"/>
      <c r="WWN13" s="16"/>
      <c r="WWO13" s="16"/>
      <c r="WWP13" s="16"/>
      <c r="WWQ13" s="16"/>
      <c r="WWR13" s="16"/>
      <c r="WWS13" s="16"/>
      <c r="WWT13" s="16"/>
      <c r="WWU13" s="16"/>
      <c r="WWV13" s="16"/>
      <c r="WWW13" s="16"/>
      <c r="WWX13" s="16"/>
      <c r="WWY13" s="16"/>
      <c r="WWZ13" s="16"/>
      <c r="WXA13" s="16"/>
      <c r="WXB13" s="16"/>
      <c r="WXC13" s="16"/>
      <c r="WXD13" s="16"/>
      <c r="WXE13" s="16"/>
      <c r="WXF13" s="16"/>
      <c r="WXG13" s="16"/>
      <c r="WXH13" s="16"/>
      <c r="WXI13" s="16"/>
      <c r="WXJ13" s="16"/>
      <c r="WXK13" s="16"/>
      <c r="WXL13" s="16"/>
      <c r="WXM13" s="16"/>
      <c r="WXN13" s="16"/>
      <c r="WXO13" s="16"/>
      <c r="WXP13" s="16"/>
      <c r="WXQ13" s="16"/>
      <c r="WXR13" s="16"/>
      <c r="WXS13" s="16"/>
      <c r="WXT13" s="16"/>
      <c r="WXU13" s="16"/>
      <c r="WXV13" s="16"/>
      <c r="WXW13" s="16"/>
      <c r="WXX13" s="16"/>
      <c r="WXY13" s="16"/>
      <c r="WXZ13" s="16"/>
      <c r="WYA13" s="16"/>
      <c r="WYB13" s="16"/>
      <c r="WYC13" s="16"/>
      <c r="WYD13" s="16"/>
      <c r="WYE13" s="16"/>
      <c r="WYF13" s="16"/>
      <c r="WYG13" s="16"/>
      <c r="WYH13" s="16"/>
      <c r="WYI13" s="16"/>
      <c r="WYJ13" s="16"/>
      <c r="WYK13" s="16"/>
      <c r="WYL13" s="16"/>
      <c r="WYM13" s="16"/>
      <c r="WYN13" s="16"/>
      <c r="WYO13" s="16"/>
      <c r="WYP13" s="16"/>
      <c r="WYQ13" s="16"/>
      <c r="WYR13" s="16"/>
      <c r="WYS13" s="16"/>
      <c r="WYT13" s="16"/>
      <c r="WYU13" s="16"/>
      <c r="WYV13" s="16"/>
      <c r="WYW13" s="16"/>
      <c r="WYX13" s="16"/>
      <c r="WYY13" s="16"/>
      <c r="WYZ13" s="16"/>
      <c r="WZA13" s="16"/>
      <c r="WZB13" s="16"/>
      <c r="WZC13" s="16"/>
      <c r="WZD13" s="16"/>
      <c r="WZE13" s="16"/>
      <c r="WZF13" s="16"/>
      <c r="WZG13" s="16"/>
      <c r="WZH13" s="16"/>
      <c r="WZI13" s="16"/>
      <c r="WZJ13" s="16"/>
      <c r="WZK13" s="16"/>
      <c r="WZL13" s="16"/>
      <c r="WZM13" s="16"/>
      <c r="WZN13" s="16"/>
      <c r="WZO13" s="16"/>
      <c r="WZP13" s="16"/>
      <c r="WZQ13" s="16"/>
      <c r="WZR13" s="16"/>
      <c r="WZS13" s="16"/>
      <c r="WZT13" s="16"/>
      <c r="WZU13" s="16"/>
      <c r="WZV13" s="16"/>
      <c r="WZW13" s="16"/>
      <c r="WZX13" s="16"/>
      <c r="WZY13" s="16"/>
      <c r="WZZ13" s="16"/>
      <c r="XAA13" s="16"/>
      <c r="XAB13" s="16"/>
      <c r="XAC13" s="16"/>
      <c r="XAD13" s="16"/>
      <c r="XAE13" s="16"/>
      <c r="XAF13" s="16"/>
      <c r="XAG13" s="16"/>
      <c r="XAH13" s="16"/>
      <c r="XAI13" s="16"/>
      <c r="XAJ13" s="16"/>
      <c r="XAK13" s="16"/>
      <c r="XAL13" s="16"/>
      <c r="XAM13" s="16"/>
      <c r="XAN13" s="16"/>
      <c r="XAO13" s="16"/>
      <c r="XAP13" s="16"/>
      <c r="XAQ13" s="16"/>
      <c r="XAR13" s="16"/>
      <c r="XAS13" s="16"/>
      <c r="XAT13" s="16"/>
      <c r="XAU13" s="16"/>
      <c r="XAV13" s="16"/>
      <c r="XAW13" s="16"/>
      <c r="XAX13" s="16"/>
      <c r="XAY13" s="16"/>
      <c r="XAZ13" s="16"/>
      <c r="XBA13" s="16"/>
      <c r="XBB13" s="16"/>
      <c r="XBC13" s="16"/>
      <c r="XBD13" s="16"/>
      <c r="XBE13" s="16"/>
      <c r="XBF13" s="16"/>
      <c r="XBG13" s="16"/>
      <c r="XBH13" s="16"/>
      <c r="XBI13" s="16"/>
      <c r="XBJ13" s="16"/>
      <c r="XBK13" s="16"/>
      <c r="XBL13" s="16"/>
      <c r="XBM13" s="16"/>
      <c r="XBN13" s="16"/>
      <c r="XBO13" s="16"/>
      <c r="XBP13" s="16"/>
      <c r="XBQ13" s="16"/>
      <c r="XBR13" s="16"/>
      <c r="XBS13" s="16"/>
      <c r="XBT13" s="16"/>
      <c r="XBU13" s="16"/>
      <c r="XBV13" s="16"/>
      <c r="XBW13" s="16"/>
      <c r="XBX13" s="16"/>
      <c r="XBY13" s="16"/>
      <c r="XBZ13" s="16"/>
      <c r="XCA13" s="16"/>
      <c r="XCB13" s="16"/>
      <c r="XCC13" s="16"/>
      <c r="XCD13" s="16"/>
      <c r="XCE13" s="16"/>
      <c r="XCF13" s="16"/>
      <c r="XCG13" s="16"/>
      <c r="XCH13" s="16"/>
      <c r="XCI13" s="16"/>
      <c r="XCJ13" s="16"/>
      <c r="XCK13" s="16"/>
      <c r="XCL13" s="16"/>
      <c r="XCM13" s="16"/>
      <c r="XCN13" s="16"/>
      <c r="XCO13" s="16"/>
      <c r="XCP13" s="16"/>
      <c r="XCQ13" s="16"/>
      <c r="XCR13" s="16"/>
      <c r="XCS13" s="16"/>
      <c r="XCT13" s="16"/>
      <c r="XCU13" s="16"/>
      <c r="XCV13" s="16"/>
      <c r="XCW13" s="16"/>
      <c r="XCX13" s="16"/>
      <c r="XCY13" s="16"/>
      <c r="XCZ13" s="16"/>
      <c r="XDA13" s="16"/>
      <c r="XDB13" s="16"/>
      <c r="XDC13" s="16"/>
      <c r="XDD13" s="16"/>
      <c r="XDE13" s="16"/>
      <c r="XDF13" s="16"/>
      <c r="XDG13" s="16"/>
      <c r="XDH13" s="16"/>
      <c r="XDI13" s="16"/>
      <c r="XDJ13" s="16"/>
      <c r="XDK13" s="16"/>
      <c r="XDL13" s="16"/>
      <c r="XDM13" s="16"/>
      <c r="XDN13" s="16"/>
      <c r="XDO13" s="16"/>
      <c r="XDP13" s="16"/>
      <c r="XDQ13" s="16"/>
      <c r="XDR13" s="16"/>
      <c r="XDS13" s="16"/>
      <c r="XDT13" s="16"/>
      <c r="XDU13" s="16"/>
      <c r="XDV13" s="16"/>
      <c r="XDW13" s="16"/>
      <c r="XDX13" s="16"/>
      <c r="XDY13" s="16"/>
      <c r="XDZ13" s="16"/>
      <c r="XEA13" s="16"/>
      <c r="XEB13" s="16"/>
      <c r="XEC13" s="16"/>
      <c r="XED13" s="16"/>
      <c r="XEE13" s="16"/>
      <c r="XEF13" s="16"/>
      <c r="XEG13" s="16"/>
      <c r="XEH13" s="16"/>
      <c r="XEI13" s="16"/>
      <c r="XEJ13" s="16"/>
      <c r="XEK13" s="16"/>
      <c r="XEL13" s="16"/>
      <c r="XEM13" s="16"/>
      <c r="XEN13" s="16"/>
      <c r="XEO13" s="16"/>
      <c r="XEP13" s="16"/>
      <c r="XEQ13" s="16"/>
      <c r="XER13" s="16"/>
      <c r="XES13" s="16"/>
      <c r="XET13" s="16"/>
      <c r="XEU13" s="16"/>
      <c r="XEV13" s="16"/>
      <c r="XEW13" s="16"/>
      <c r="XEX13" s="16"/>
      <c r="XEY13" s="16"/>
      <c r="XEZ13" s="16"/>
      <c r="XFA13" s="16"/>
      <c r="XFB13" s="16"/>
      <c r="XFC13" s="16"/>
    </row>
    <row r="14" spans="1:16383" ht="15.75" x14ac:dyDescent="0.25">
      <c r="A14" s="703" t="s">
        <v>231</v>
      </c>
      <c r="B14" s="704"/>
      <c r="C14" s="696"/>
      <c r="D14" s="696"/>
      <c r="E14" s="696"/>
      <c r="F14" s="696"/>
      <c r="G14" s="696"/>
      <c r="H14" s="696"/>
      <c r="I14" s="696"/>
      <c r="J14" s="705"/>
    </row>
    <row r="15" spans="1:16383" ht="15.75" x14ac:dyDescent="0.25">
      <c r="A15" s="680" t="s">
        <v>236</v>
      </c>
      <c r="B15" s="704"/>
      <c r="C15" s="696"/>
      <c r="D15" s="696"/>
      <c r="E15" s="696"/>
      <c r="F15" s="696"/>
      <c r="G15" s="696"/>
      <c r="H15" s="696"/>
      <c r="I15" s="696"/>
      <c r="J15" s="705"/>
    </row>
    <row r="16" spans="1:16383" ht="15.75" x14ac:dyDescent="0.25">
      <c r="A16" t="s">
        <v>1067</v>
      </c>
      <c r="B16" s="704"/>
      <c r="C16" s="696"/>
      <c r="D16" s="696"/>
      <c r="E16" s="696"/>
      <c r="F16" s="696"/>
      <c r="G16" s="696"/>
      <c r="H16" s="696"/>
      <c r="I16" s="696"/>
      <c r="J16" s="705"/>
    </row>
    <row r="17" spans="1:10" ht="15.75" x14ac:dyDescent="0.25">
      <c r="A17" s="680"/>
      <c r="B17" s="704"/>
      <c r="C17" s="696"/>
      <c r="D17" s="696"/>
      <c r="E17" s="696"/>
      <c r="F17" s="696"/>
      <c r="G17" s="696"/>
      <c r="H17" s="696"/>
      <c r="I17" s="696"/>
      <c r="J17" s="705"/>
    </row>
    <row r="18" spans="1:10" ht="37.5" customHeight="1" x14ac:dyDescent="0.25">
      <c r="A18" s="684" t="s">
        <v>547</v>
      </c>
      <c r="B18" s="684"/>
      <c r="C18" s="684"/>
      <c r="D18" s="684"/>
      <c r="E18" s="684"/>
      <c r="F18" s="684"/>
      <c r="G18" s="684"/>
      <c r="H18" s="684"/>
      <c r="I18" s="684"/>
      <c r="J18" s="102"/>
    </row>
    <row r="19" spans="1:10" ht="15" customHeight="1" x14ac:dyDescent="0.25">
      <c r="A19" t="s">
        <v>368</v>
      </c>
      <c r="B19" t="s">
        <v>782</v>
      </c>
      <c r="C19" s="684"/>
      <c r="D19" s="684"/>
      <c r="E19" s="684"/>
      <c r="F19" s="684"/>
      <c r="G19" s="684"/>
      <c r="H19" s="684"/>
      <c r="I19" s="684"/>
      <c r="J19" s="102"/>
    </row>
    <row r="20" spans="1:10" ht="15" customHeight="1" x14ac:dyDescent="0.25">
      <c r="A20" t="s">
        <v>369</v>
      </c>
      <c r="B20" t="s">
        <v>371</v>
      </c>
      <c r="C20" s="684"/>
      <c r="D20" s="684"/>
      <c r="E20" s="684"/>
      <c r="F20" s="684"/>
      <c r="G20" s="684"/>
      <c r="H20" s="684"/>
      <c r="I20" s="684"/>
      <c r="J20" s="102"/>
    </row>
    <row r="21" spans="1:10" ht="15" customHeight="1" x14ac:dyDescent="0.25">
      <c r="A21" t="s">
        <v>370</v>
      </c>
      <c r="B21" t="s">
        <v>372</v>
      </c>
      <c r="C21" s="684"/>
      <c r="D21" s="684"/>
      <c r="E21" s="684"/>
      <c r="F21" s="684"/>
      <c r="G21" s="684"/>
      <c r="H21" s="684"/>
      <c r="I21" s="684"/>
      <c r="J21" s="102"/>
    </row>
    <row r="22" spans="1:10" ht="15" customHeight="1" x14ac:dyDescent="0.25">
      <c r="A22" t="s">
        <v>1063</v>
      </c>
      <c r="C22" s="684"/>
      <c r="D22" s="684"/>
      <c r="E22" s="684"/>
      <c r="F22" s="684"/>
      <c r="G22" s="684"/>
      <c r="H22" s="684"/>
      <c r="I22" s="684"/>
      <c r="J22" s="102"/>
    </row>
    <row r="23" spans="1:10" ht="26.25" x14ac:dyDescent="0.25">
      <c r="B23" s="103" t="s">
        <v>222</v>
      </c>
      <c r="C23" s="48" t="s">
        <v>213</v>
      </c>
      <c r="D23" s="48" t="s">
        <v>84</v>
      </c>
      <c r="E23" s="48" t="s">
        <v>85</v>
      </c>
      <c r="F23" s="48" t="s">
        <v>86</v>
      </c>
      <c r="G23" s="48" t="s">
        <v>87</v>
      </c>
      <c r="H23" s="48" t="s">
        <v>88</v>
      </c>
      <c r="I23" s="48" t="s">
        <v>89</v>
      </c>
      <c r="J23" s="730" t="s">
        <v>26</v>
      </c>
    </row>
    <row r="24" spans="1:10" ht="15.75" thickBot="1" x14ac:dyDescent="0.3">
      <c r="B24" s="99" t="s">
        <v>536</v>
      </c>
      <c r="C24" s="443">
        <f>GETPIVOTDATA("Sum of Director",h5cd!$A$30,"ReportingLevel","Total","lvl","Scotland")</f>
        <v>3</v>
      </c>
      <c r="D24" s="443">
        <f>GETPIVOTDATA("Sum of Service Manager",h5cd!$A$30,"ReportingLevel","Total","lvl","Scotland")</f>
        <v>49</v>
      </c>
      <c r="E24" s="443">
        <f>GETPIVOTDATA("Sum of Team Leader",h5cd!$A$30,"ReportingLevel","Total","lvl","Scotland")</f>
        <v>34</v>
      </c>
      <c r="F24" s="443">
        <f>GETPIVOTDATA("Sum of Professional",h5cd!$A$30,"ReportingLevel","Total","lvl","Scotland")</f>
        <v>80</v>
      </c>
      <c r="G24" s="443">
        <f>GETPIVOTDATA("Sum of Specialist Technical",h5cd!$A$30,"ReportingLevel","Total","lvl","Scotland")</f>
        <v>376</v>
      </c>
      <c r="H24" s="443">
        <f>GETPIVOTDATA("Sum of Tech Support",h5cd!$A$30,"ReportingLevel","Total","lvl","Scotland")</f>
        <v>59</v>
      </c>
      <c r="I24" s="443">
        <f>GETPIVOTDATA("Sum of Administration",h5cd!$A$30,"ReportingLevel","Total","lvl","Scotland")</f>
        <v>145</v>
      </c>
      <c r="J24" s="731">
        <f>GETPIVOTDATA("Sum of Total",h5cd!$A$30,"ReportingLevel","Total","lvl","Scotland")</f>
        <v>746</v>
      </c>
    </row>
    <row r="25" spans="1:10" x14ac:dyDescent="0.25">
      <c r="B25" s="101"/>
      <c r="C25" s="101"/>
      <c r="D25" s="108"/>
      <c r="E25" s="108"/>
      <c r="F25" s="108"/>
      <c r="G25" s="108"/>
      <c r="H25" s="108"/>
    </row>
    <row r="26" spans="1:10" x14ac:dyDescent="0.25">
      <c r="A26" s="53" t="s">
        <v>373</v>
      </c>
      <c r="B26" s="53" t="s">
        <v>76</v>
      </c>
      <c r="C26" s="53"/>
      <c r="D26" s="2"/>
      <c r="E26" s="2"/>
      <c r="F26" s="2"/>
      <c r="G26" s="2"/>
      <c r="H26" s="2"/>
    </row>
    <row r="27" spans="1:10" x14ac:dyDescent="0.25">
      <c r="A27" t="s">
        <v>411</v>
      </c>
      <c r="B27" s="56" t="s">
        <v>77</v>
      </c>
      <c r="C27" s="688">
        <f>GETPIVOTDATA("Sum of Director",h5cd!$A$30,"ReportingLevel","3:SDA","lvl","East")</f>
        <v>0</v>
      </c>
      <c r="D27" s="119">
        <f>GETPIVOTDATA("Sum of Service Manager",h5cd!$A$30,"ReportingLevel","3:SDA","lvl","East")</f>
        <v>2</v>
      </c>
      <c r="E27" s="119">
        <f>GETPIVOTDATA("Sum of Team Leader",h5cd!$A$30,"ReportingLevel","3:SDA","lvl","East")</f>
        <v>4</v>
      </c>
      <c r="F27" s="119">
        <f>GETPIVOTDATA("Sum of Professional",h5cd!$A$30,"ReportingLevel","3:SDA","lvl","East")</f>
        <v>10</v>
      </c>
      <c r="G27" s="119">
        <f>GETPIVOTDATA("Sum of Specialist Technical",h5cd!$A$30,"ReportingLevel","3:SDA","lvl","East")</f>
        <v>48</v>
      </c>
      <c r="H27" s="119">
        <f>GETPIVOTDATA("Sum of Tech Support",h5cd!$A$30,"ReportingLevel","3:SDA","lvl","East")</f>
        <v>16</v>
      </c>
      <c r="I27" s="733">
        <f>GETPIVOTDATA("Sum of Administration",h5cd!$A$30,"ReportingLevel","3:SDA","lvl","East")</f>
        <v>17</v>
      </c>
      <c r="J27" s="734">
        <f>GETPIVOTDATA("Sum of Total",h5cd!$A$30,"ReportingLevel","3:SDA","lvl","East")</f>
        <v>97</v>
      </c>
    </row>
    <row r="28" spans="1:10" x14ac:dyDescent="0.25">
      <c r="A28" t="s">
        <v>413</v>
      </c>
      <c r="B28" s="59" t="s">
        <v>78</v>
      </c>
      <c r="C28" s="688">
        <f>GETPIVOTDATA("Sum of Director",h5cd!$A$30,"ReportingLevel","3:SDA","lvl","North")</f>
        <v>0</v>
      </c>
      <c r="D28" s="119">
        <f>GETPIVOTDATA("Sum of Service Manager",h5cd!$A$30,"ReportingLevel","3:SDA","lvl","North")</f>
        <v>3</v>
      </c>
      <c r="E28" s="119">
        <f>GETPIVOTDATA("Sum of Team Leader",h5cd!$A$30,"ReportingLevel","3:SDA","lvl","North")</f>
        <v>9</v>
      </c>
      <c r="F28" s="119">
        <f>GETPIVOTDATA("Sum of Professional",h5cd!$A$30,"ReportingLevel","3:SDA","lvl","North")</f>
        <v>10</v>
      </c>
      <c r="G28" s="119">
        <f>GETPIVOTDATA("Sum of Specialist Technical",h5cd!$A$30,"ReportingLevel","3:SDA","lvl","North")</f>
        <v>74</v>
      </c>
      <c r="H28" s="119">
        <f>GETPIVOTDATA("Sum of Tech Support",h5cd!$A$30,"ReportingLevel","3:SDA","lvl","North")</f>
        <v>16</v>
      </c>
      <c r="I28" s="119">
        <f>GETPIVOTDATA("Sum of Administration",h5cd!$A$30,"ReportingLevel","3:SDA","lvl","North")</f>
        <v>20</v>
      </c>
      <c r="J28" s="732">
        <f>GETPIVOTDATA("Sum of Total",h5cd!$A$30,"ReportingLevel","3:SDA","lvl","North")</f>
        <v>133</v>
      </c>
    </row>
    <row r="29" spans="1:10" x14ac:dyDescent="0.25">
      <c r="A29" t="s">
        <v>412</v>
      </c>
      <c r="B29" s="59" t="s">
        <v>79</v>
      </c>
      <c r="C29" s="688">
        <f>GETPIVOTDATA("Sum of Director",h5cd!$A$30,"ReportingLevel","3:SDA","lvl","West")</f>
        <v>0</v>
      </c>
      <c r="D29" s="119">
        <f>GETPIVOTDATA("Sum of Service Manager",h5cd!$A$30,"ReportingLevel","3:SDA","lvl","West")</f>
        <v>2</v>
      </c>
      <c r="E29" s="119">
        <f>GETPIVOTDATA("Sum of Team Leader",h5cd!$A$30,"ReportingLevel","3:SDA","lvl","West")</f>
        <v>9</v>
      </c>
      <c r="F29" s="119">
        <f>GETPIVOTDATA("Sum of Professional",h5cd!$A$30,"ReportingLevel","3:SDA","lvl","West")</f>
        <v>15</v>
      </c>
      <c r="G29" s="119">
        <f>GETPIVOTDATA("Sum of Specialist Technical",h5cd!$A$30,"ReportingLevel","3:SDA","lvl","West")</f>
        <v>128</v>
      </c>
      <c r="H29" s="119">
        <f>GETPIVOTDATA("Sum of Tech Support",h5cd!$A$30,"ReportingLevel","3:SDA","lvl","West")</f>
        <v>25</v>
      </c>
      <c r="I29" s="119">
        <f>GETPIVOTDATA("Sum of Administration",h5cd!$A$30,"ReportingLevel","3:SDA","lvl","West")</f>
        <v>46</v>
      </c>
      <c r="J29" s="732">
        <f>GETPIVOTDATA("Sum of Total",h5cd!$A$30,"ReportingLevel","3:SDA","lvl","West")</f>
        <v>225</v>
      </c>
    </row>
    <row r="30" spans="1:10" ht="15.75" thickBot="1" x14ac:dyDescent="0.3">
      <c r="A30" s="690"/>
      <c r="B30" s="63" t="s">
        <v>80</v>
      </c>
      <c r="C30" s="689">
        <f>GETPIVOTDATA("Sum of Director",h5cd!$A$30,"ReportingLevel","3:SDA","lvl","ALL")</f>
        <v>0</v>
      </c>
      <c r="D30" s="443">
        <f>GETPIVOTDATA("Sum of Service Manager",h5cd!$A$30,"ReportingLevel","3:SDA","lvl","ALL")</f>
        <v>7</v>
      </c>
      <c r="E30" s="443">
        <f>GETPIVOTDATA("Sum of Team Leader",h5cd!$A$30,"ReportingLevel","3:SDA","lvl","ALL")</f>
        <v>22</v>
      </c>
      <c r="F30" s="443">
        <f>GETPIVOTDATA("Sum of Professional",h5cd!$A$30,"ReportingLevel","3:SDA","lvl","ALL")</f>
        <v>34</v>
      </c>
      <c r="G30" s="443">
        <f>GETPIVOTDATA("Sum of Specialist Technical",h5cd!$A$30,"ReportingLevel","3:SDA","lvl","ALL")</f>
        <v>250</v>
      </c>
      <c r="H30" s="443">
        <f>GETPIVOTDATA("Sum of Tech Support",h5cd!$A$30,"ReportingLevel","3:SDA","lvl","ALL")</f>
        <v>58</v>
      </c>
      <c r="I30" s="443">
        <f>GETPIVOTDATA("Sum of Administration",h5cd!$A$30,"ReportingLevel","3:SDA","lvl","ALL")</f>
        <v>83</v>
      </c>
      <c r="J30" s="731">
        <f>GETPIVOTDATA("Sum of Total",h5cd!$A$30,"ReportingLevel","3:SDA","lvl","ALL")</f>
        <v>455</v>
      </c>
    </row>
    <row r="31" spans="1:10" x14ac:dyDescent="0.25">
      <c r="A31" s="672"/>
      <c r="B31" s="693"/>
      <c r="D31" s="109"/>
      <c r="E31" s="109"/>
      <c r="F31" s="109"/>
      <c r="G31" s="109"/>
      <c r="H31" s="109"/>
    </row>
    <row r="32" spans="1:10" x14ac:dyDescent="0.25">
      <c r="A32" s="103" t="s">
        <v>532</v>
      </c>
      <c r="B32" s="110"/>
      <c r="C32" s="110"/>
      <c r="D32" s="440"/>
      <c r="E32" s="440"/>
      <c r="F32" s="440"/>
      <c r="G32" s="440"/>
      <c r="H32" s="440"/>
    </row>
    <row r="33" spans="1:10" ht="15.75" thickBot="1" x14ac:dyDescent="0.3">
      <c r="A33" s="690" t="s">
        <v>391</v>
      </c>
      <c r="B33" s="49" t="s">
        <v>81</v>
      </c>
      <c r="C33" s="418">
        <f>GETPIVOTDATA("Sum of Director",h5cd!$A$30,"ReportingLevel","4:National","lvl","Scotland")</f>
        <v>3</v>
      </c>
      <c r="D33" s="418">
        <f>GETPIVOTDATA("Sum of Service Manager",h5cd!$A$30,"ReportingLevel","4:National","lvl","Scotland")</f>
        <v>42</v>
      </c>
      <c r="E33" s="418">
        <f>GETPIVOTDATA("Sum of Team Leader",h5cd!$A$30,"ReportingLevel","4:National","lvl","Scotland")</f>
        <v>12</v>
      </c>
      <c r="F33" s="418">
        <f>GETPIVOTDATA("Sum of Professional",h5cd!$A$30,"ReportingLevel","4:National","lvl","Scotland")</f>
        <v>46</v>
      </c>
      <c r="G33" s="418">
        <f>GETPIVOTDATA("Sum of Specialist Technical",h5cd!$A$30,"ReportingLevel","4:National","lvl","Scotland")</f>
        <v>125</v>
      </c>
      <c r="H33" s="418">
        <f>GETPIVOTDATA("Sum of Tech Support",h5cd!$A$30,"ReportingLevel","4:National","lvl","Scotland")</f>
        <v>1</v>
      </c>
      <c r="I33" s="418">
        <f>GETPIVOTDATA("Sum of Administration",h5cd!$A$30,"ReportingLevel","4:National","lvl","Scotland")</f>
        <v>62</v>
      </c>
      <c r="J33" s="731">
        <f>GETPIVOTDATA("Sum of Total",h5cd!$A$30,"ReportingLevel","4:National","lvl","Scotland")</f>
        <v>291</v>
      </c>
    </row>
    <row r="34" spans="1:10" x14ac:dyDescent="0.25">
      <c r="A34" s="65"/>
      <c r="B34" s="699"/>
      <c r="C34" s="699"/>
      <c r="D34" s="699"/>
      <c r="E34" s="699"/>
      <c r="F34" s="699"/>
      <c r="G34" s="699"/>
      <c r="H34" s="700"/>
      <c r="I34" s="701"/>
    </row>
    <row r="35" spans="1:10" x14ac:dyDescent="0.25">
      <c r="A35" s="506" t="s">
        <v>8</v>
      </c>
      <c r="B35" s="677"/>
      <c r="C35" s="677"/>
      <c r="D35" s="677"/>
      <c r="E35" s="677"/>
      <c r="F35" s="677"/>
      <c r="G35" s="677"/>
      <c r="H35" s="678"/>
      <c r="I35" s="679"/>
    </row>
    <row r="36" spans="1:10" x14ac:dyDescent="0.25">
      <c r="A36" s="695" t="s">
        <v>230</v>
      </c>
      <c r="B36" s="677"/>
      <c r="C36" s="677"/>
      <c r="D36" s="677"/>
      <c r="E36" s="677"/>
      <c r="F36" s="677"/>
      <c r="G36" s="677"/>
      <c r="H36" s="678"/>
      <c r="I36" s="679"/>
    </row>
    <row r="37" spans="1:10" x14ac:dyDescent="0.25">
      <c r="A37" s="548" t="s">
        <v>231</v>
      </c>
      <c r="B37" s="677"/>
      <c r="C37" s="677"/>
      <c r="D37" s="677"/>
      <c r="E37" s="677"/>
      <c r="F37" s="677"/>
      <c r="G37" s="677"/>
      <c r="H37" s="678"/>
      <c r="I37" s="679"/>
    </row>
    <row r="38" spans="1:10" ht="15" customHeight="1" x14ac:dyDescent="0.25">
      <c r="A38" s="976" t="s">
        <v>838</v>
      </c>
      <c r="B38" s="677"/>
      <c r="C38" s="677"/>
      <c r="D38" s="677"/>
      <c r="E38" s="677"/>
      <c r="F38" s="677"/>
      <c r="G38" s="677"/>
      <c r="H38" s="678"/>
      <c r="I38" s="679"/>
    </row>
    <row r="39" spans="1:10" ht="30" customHeight="1" x14ac:dyDescent="0.25">
      <c r="A39" s="1007" t="s">
        <v>837</v>
      </c>
      <c r="B39" s="1007"/>
      <c r="C39" s="1007"/>
      <c r="D39" s="1007"/>
      <c r="E39" s="1007"/>
      <c r="F39" s="1007"/>
      <c r="G39" s="1007"/>
      <c r="H39" s="1007"/>
      <c r="I39" s="1007"/>
      <c r="J39" s="1007"/>
    </row>
    <row r="40" spans="1:10" ht="15" customHeight="1" x14ac:dyDescent="0.25">
      <c r="A40" s="681" t="s">
        <v>233</v>
      </c>
      <c r="B40" s="681"/>
      <c r="C40" s="681"/>
      <c r="D40" s="681"/>
      <c r="E40" s="681"/>
      <c r="F40" s="681"/>
      <c r="G40" s="681"/>
      <c r="H40" s="681"/>
      <c r="I40" s="681"/>
      <c r="J40" s="681"/>
    </row>
    <row r="41" spans="1:10" ht="30" customHeight="1" x14ac:dyDescent="0.25">
      <c r="A41" s="1005" t="s">
        <v>234</v>
      </c>
      <c r="B41" s="1005"/>
      <c r="C41" s="1005"/>
      <c r="D41" s="1005"/>
      <c r="E41" s="1005"/>
      <c r="F41" s="1005"/>
      <c r="G41" s="1005"/>
      <c r="H41" s="1005"/>
      <c r="I41" s="1005"/>
      <c r="J41" s="1005"/>
    </row>
    <row r="42" spans="1:10" ht="15" customHeight="1" x14ac:dyDescent="0.25">
      <c r="A42" s="509" t="s">
        <v>235</v>
      </c>
      <c r="B42" s="499"/>
      <c r="C42" s="682"/>
      <c r="D42" s="683"/>
      <c r="E42" s="683"/>
      <c r="F42" s="683"/>
      <c r="G42" s="683"/>
      <c r="H42" s="683"/>
      <c r="I42" s="683"/>
    </row>
    <row r="43" spans="1:10" x14ac:dyDescent="0.25">
      <c r="A43" t="s">
        <v>1067</v>
      </c>
      <c r="B43" s="685"/>
      <c r="C43" s="685"/>
      <c r="D43" s="685"/>
      <c r="E43" s="685"/>
      <c r="F43" s="685"/>
      <c r="G43" s="685"/>
      <c r="H43" s="685"/>
      <c r="I43" s="685"/>
    </row>
    <row r="44" spans="1:10" x14ac:dyDescent="0.25">
      <c r="B44" s="685"/>
      <c r="C44" s="685"/>
      <c r="D44" s="685"/>
      <c r="E44" s="685"/>
      <c r="F44" s="685"/>
      <c r="G44" s="685"/>
      <c r="H44" s="685"/>
      <c r="I44" s="685"/>
    </row>
    <row r="47" spans="1:10" x14ac:dyDescent="0.25">
      <c r="B47" s="1005"/>
      <c r="C47" s="1005"/>
      <c r="D47" s="1005"/>
      <c r="E47" s="1005"/>
      <c r="F47" s="1005"/>
      <c r="G47" s="1005"/>
      <c r="H47" s="1005"/>
      <c r="I47" s="1005"/>
      <c r="J47" s="1005"/>
    </row>
    <row r="48" spans="1:10" x14ac:dyDescent="0.25">
      <c r="A48" s="976"/>
      <c r="B48" s="677"/>
      <c r="C48" s="677"/>
      <c r="D48" s="677"/>
      <c r="E48" s="677"/>
      <c r="F48" s="677"/>
      <c r="G48" s="677"/>
      <c r="H48" s="678"/>
      <c r="I48" s="679"/>
    </row>
    <row r="49" spans="1:10" x14ac:dyDescent="0.25">
      <c r="A49" s="1007"/>
      <c r="B49" s="1007"/>
      <c r="C49" s="1007"/>
      <c r="D49" s="1007"/>
      <c r="E49" s="1007"/>
      <c r="F49" s="1007"/>
      <c r="G49" s="1007"/>
      <c r="H49" s="1007"/>
      <c r="I49" s="1007"/>
      <c r="J49" s="1007"/>
    </row>
    <row r="50" spans="1:10" x14ac:dyDescent="0.25">
      <c r="A50" s="681"/>
      <c r="B50" s="681"/>
      <c r="C50" s="681"/>
      <c r="D50" s="681"/>
      <c r="E50" s="681"/>
      <c r="F50" s="681"/>
      <c r="G50" s="681"/>
      <c r="H50" s="681"/>
      <c r="I50" s="681"/>
      <c r="J50" s="681"/>
    </row>
    <row r="51" spans="1:10" x14ac:dyDescent="0.25">
      <c r="A51" s="1005"/>
      <c r="B51" s="1005"/>
      <c r="C51" s="1005"/>
      <c r="D51" s="1005"/>
      <c r="E51" s="1005"/>
      <c r="F51" s="1005"/>
      <c r="G51" s="1005"/>
      <c r="H51" s="1005"/>
      <c r="I51" s="1005"/>
      <c r="J51" s="1005"/>
    </row>
    <row r="52" spans="1:10" x14ac:dyDescent="0.25">
      <c r="A52" s="509"/>
      <c r="B52" s="499"/>
      <c r="C52" s="682"/>
      <c r="D52" s="683"/>
      <c r="E52" s="683"/>
      <c r="F52" s="683"/>
      <c r="G52" s="683"/>
      <c r="H52" s="683"/>
      <c r="I52" s="683"/>
    </row>
  </sheetData>
  <sheetProtection algorithmName="SHA-512" hashValue="MWSNVsk3t1TrtO6lUQFCNenHo0f6Gh6j0oRMcw9IAVUvEPvj7/JRdSforPOzg9viPUEKlpwq0vd9XfjJg5Pieg==" saltValue="sw3S9rxzTMt4nQIZq1z0kA==" spinCount="100000" sheet="1" autoFilter="0" pivotTables="0"/>
  <mergeCells count="6">
    <mergeCell ref="A51:J51"/>
    <mergeCell ref="A49:J49"/>
    <mergeCell ref="A1:H1"/>
    <mergeCell ref="B47:J47"/>
    <mergeCell ref="A39:J39"/>
    <mergeCell ref="A41:J41"/>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5" orientation="landscape" r:id="rId1"/>
  <drawing r:id="rId2"/>
  <extLst>
    <ext xmlns:x14="http://schemas.microsoft.com/office/spreadsheetml/2009/9/main" uri="{A8765BA9-456A-4dab-B4F3-ACF838C121DE}">
      <x14:slicerList>
        <x14:slicer r:id="rId3"/>
      </x14:slicerList>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39997558519241921"/>
    <pageSetUpPr fitToPage="1"/>
  </sheetPr>
  <dimension ref="A1:O38"/>
  <sheetViews>
    <sheetView showGridLines="0" workbookViewId="0">
      <pane ySplit="2" topLeftCell="A3" activePane="bottomLeft" state="frozen"/>
      <selection sqref="A1:C1"/>
      <selection pane="bottomLeft" sqref="A1:E1"/>
    </sheetView>
  </sheetViews>
  <sheetFormatPr defaultRowHeight="15" x14ac:dyDescent="0.25"/>
  <cols>
    <col min="1" max="1" width="19.28515625" customWidth="1"/>
    <col min="2" max="15" width="11.140625" customWidth="1"/>
  </cols>
  <sheetData>
    <row r="1" spans="1:15" ht="15.75" x14ac:dyDescent="0.25">
      <c r="A1" s="993" t="s">
        <v>523</v>
      </c>
      <c r="B1" s="993"/>
      <c r="C1" s="993"/>
      <c r="D1" s="993"/>
      <c r="E1" s="993"/>
    </row>
    <row r="2" spans="1:15" ht="15.75" x14ac:dyDescent="0.25">
      <c r="A2" s="790" t="s">
        <v>598</v>
      </c>
      <c r="C2" s="668"/>
      <c r="D2" s="668"/>
      <c r="E2" s="668"/>
    </row>
    <row r="3" spans="1:15" ht="15.75" x14ac:dyDescent="0.25">
      <c r="C3" s="668"/>
      <c r="D3" s="668"/>
      <c r="E3" s="668"/>
      <c r="F3" s="31"/>
      <c r="G3" s="31"/>
      <c r="H3" s="31"/>
      <c r="I3" s="31"/>
      <c r="J3" s="31"/>
      <c r="K3" s="31"/>
      <c r="L3" s="31"/>
      <c r="M3" s="31"/>
      <c r="N3" s="31"/>
      <c r="O3" s="31"/>
    </row>
    <row r="4" spans="1:15" ht="15.75" x14ac:dyDescent="0.25">
      <c r="A4" s="1012" t="s">
        <v>541</v>
      </c>
      <c r="B4" s="1012"/>
      <c r="C4" s="1012"/>
      <c r="D4" s="1012"/>
      <c r="E4" s="1012"/>
      <c r="F4" s="1012"/>
      <c r="G4" s="1012"/>
      <c r="H4" s="1012"/>
      <c r="I4" s="1012"/>
      <c r="J4" s="1012"/>
      <c r="K4" s="1012"/>
      <c r="L4" s="1012"/>
      <c r="M4" s="1012"/>
      <c r="N4" s="1012"/>
      <c r="O4" s="1012"/>
    </row>
    <row r="5" spans="1:15" ht="15.75" x14ac:dyDescent="0.25">
      <c r="A5" t="s">
        <v>368</v>
      </c>
      <c r="B5" t="s">
        <v>783</v>
      </c>
      <c r="C5" s="628"/>
      <c r="D5" s="628"/>
      <c r="E5" s="628"/>
      <c r="F5" s="628"/>
      <c r="G5" s="628"/>
      <c r="H5" s="628"/>
      <c r="I5" s="628"/>
      <c r="J5" s="628"/>
      <c r="K5" s="628"/>
      <c r="L5" s="628"/>
      <c r="M5" s="628"/>
      <c r="N5" s="628"/>
      <c r="O5" s="628"/>
    </row>
    <row r="6" spans="1:15" ht="15.75" x14ac:dyDescent="0.25">
      <c r="A6" t="s">
        <v>369</v>
      </c>
      <c r="B6" t="s">
        <v>371</v>
      </c>
      <c r="C6" s="628"/>
      <c r="D6" s="628"/>
      <c r="E6" s="628"/>
      <c r="F6" s="628"/>
      <c r="G6" s="628"/>
      <c r="H6" s="628"/>
      <c r="I6" s="628"/>
      <c r="J6" s="628"/>
      <c r="K6" s="628"/>
      <c r="L6" s="628"/>
      <c r="M6" s="628"/>
      <c r="N6" s="628"/>
      <c r="O6" s="628"/>
    </row>
    <row r="7" spans="1:15" ht="15.75" x14ac:dyDescent="0.25">
      <c r="A7" t="s">
        <v>370</v>
      </c>
      <c r="B7" t="s">
        <v>372</v>
      </c>
      <c r="C7" s="628"/>
      <c r="D7" s="628"/>
      <c r="E7" s="628"/>
      <c r="F7" s="628"/>
      <c r="G7" s="628"/>
      <c r="H7" s="628"/>
      <c r="I7" s="628"/>
      <c r="J7" s="628"/>
      <c r="K7" s="628"/>
      <c r="L7" s="628"/>
      <c r="M7" s="628"/>
      <c r="N7" s="628"/>
      <c r="O7" s="628"/>
    </row>
    <row r="8" spans="1:15" x14ac:dyDescent="0.25">
      <c r="A8" s="13"/>
      <c r="B8" s="13"/>
      <c r="C8" s="13"/>
      <c r="D8" s="13"/>
      <c r="E8" s="13"/>
      <c r="F8" s="13"/>
      <c r="G8" s="13"/>
      <c r="H8" s="13"/>
      <c r="I8" s="13"/>
      <c r="J8" s="28"/>
      <c r="K8" s="126"/>
      <c r="L8" s="28"/>
      <c r="M8" s="28"/>
      <c r="N8" s="24"/>
      <c r="O8" s="123" t="s">
        <v>6</v>
      </c>
    </row>
    <row r="9" spans="1:15" ht="26.25" customHeight="1" x14ac:dyDescent="0.25">
      <c r="A9" s="644" t="s">
        <v>91</v>
      </c>
      <c r="B9" s="1008" t="s">
        <v>27</v>
      </c>
      <c r="C9" s="1008"/>
      <c r="D9" s="1011" t="s">
        <v>28</v>
      </c>
      <c r="E9" s="1011"/>
      <c r="F9" s="1008" t="s">
        <v>2</v>
      </c>
      <c r="G9" s="1008"/>
      <c r="H9" s="1008" t="s">
        <v>93</v>
      </c>
      <c r="I9" s="1008"/>
      <c r="J9" s="1011" t="s">
        <v>29</v>
      </c>
      <c r="K9" s="1011"/>
      <c r="L9" s="1008" t="s">
        <v>26</v>
      </c>
      <c r="M9" s="1008"/>
      <c r="N9" s="1009" t="s">
        <v>94</v>
      </c>
      <c r="O9" s="1010"/>
    </row>
    <row r="10" spans="1:15" x14ac:dyDescent="0.25">
      <c r="A10" s="713" t="s">
        <v>1</v>
      </c>
      <c r="B10" s="706" t="s">
        <v>95</v>
      </c>
      <c r="C10" s="706" t="s">
        <v>96</v>
      </c>
      <c r="D10" s="706" t="s">
        <v>95</v>
      </c>
      <c r="E10" s="706" t="s">
        <v>96</v>
      </c>
      <c r="F10" s="706" t="s">
        <v>95</v>
      </c>
      <c r="G10" s="706" t="s">
        <v>96</v>
      </c>
      <c r="H10" s="706" t="s">
        <v>95</v>
      </c>
      <c r="I10" s="706" t="s">
        <v>96</v>
      </c>
      <c r="J10" s="706" t="s">
        <v>95</v>
      </c>
      <c r="K10" s="706" t="s">
        <v>96</v>
      </c>
      <c r="L10" s="706" t="s">
        <v>95</v>
      </c>
      <c r="M10" s="706" t="s">
        <v>96</v>
      </c>
      <c r="N10" s="706" t="s">
        <v>95</v>
      </c>
      <c r="O10" s="706" t="s">
        <v>96</v>
      </c>
    </row>
    <row r="11" spans="1:15" x14ac:dyDescent="0.25">
      <c r="A11" s="5" t="str">
        <f>'T6'!A5</f>
        <v>2011-12</v>
      </c>
      <c r="B11" s="128">
        <f>'T6'!B5</f>
        <v>148</v>
      </c>
      <c r="C11" s="128">
        <f>'T6'!C5</f>
        <v>4011</v>
      </c>
      <c r="D11" s="128">
        <f>'T6'!D5</f>
        <v>182</v>
      </c>
      <c r="E11" s="128">
        <f>'T6'!E5</f>
        <v>2870</v>
      </c>
      <c r="F11" s="128">
        <f>'T6'!F5</f>
        <v>202</v>
      </c>
      <c r="G11" s="128">
        <f>'T6'!G5</f>
        <v>32</v>
      </c>
      <c r="H11" s="128">
        <f>'T6'!H5</f>
        <v>649</v>
      </c>
      <c r="I11" s="128">
        <f>'T6'!I5</f>
        <v>487</v>
      </c>
      <c r="J11" s="128">
        <f>'T6'!J5</f>
        <v>59</v>
      </c>
      <c r="K11" s="128">
        <f>'T6'!K5</f>
        <v>400</v>
      </c>
      <c r="L11" s="707">
        <f t="shared" ref="L11:L18" si="0">B11+D11+H11+J11+F11</f>
        <v>1240</v>
      </c>
      <c r="M11" s="77">
        <f t="shared" ref="M11:M18" si="1">C11+E11+G11+I11+K11</f>
        <v>7800</v>
      </c>
      <c r="N11" s="707">
        <f t="shared" ref="N11:O18" si="2">L11-J11</f>
        <v>1181</v>
      </c>
      <c r="O11" s="717">
        <f t="shared" si="2"/>
        <v>7400</v>
      </c>
    </row>
    <row r="12" spans="1:15" x14ac:dyDescent="0.25">
      <c r="A12" s="5" t="str">
        <f>'T6'!A6</f>
        <v>2012-13</v>
      </c>
      <c r="B12" s="128">
        <f>'T6'!B6</f>
        <v>158</v>
      </c>
      <c r="C12" s="128">
        <f>'T6'!C6</f>
        <v>3993</v>
      </c>
      <c r="D12" s="128">
        <f>'T6'!D6</f>
        <v>173</v>
      </c>
      <c r="E12" s="128">
        <f>'T6'!E6</f>
        <v>2903</v>
      </c>
      <c r="F12" s="128">
        <f>'T6'!F6</f>
        <v>203</v>
      </c>
      <c r="G12" s="128">
        <f>'T6'!G6</f>
        <v>31</v>
      </c>
      <c r="H12" s="128">
        <f>'T6'!H6</f>
        <v>604</v>
      </c>
      <c r="I12" s="128">
        <f>'T6'!I6</f>
        <v>482</v>
      </c>
      <c r="J12" s="128">
        <f>'T6'!J6</f>
        <v>52</v>
      </c>
      <c r="K12" s="128">
        <f>'T6'!K6</f>
        <v>365</v>
      </c>
      <c r="L12" s="708">
        <f t="shared" si="0"/>
        <v>1190</v>
      </c>
      <c r="M12" s="77">
        <f t="shared" si="1"/>
        <v>7774</v>
      </c>
      <c r="N12" s="708">
        <f t="shared" si="2"/>
        <v>1138</v>
      </c>
      <c r="O12" s="718">
        <f t="shared" si="2"/>
        <v>7409</v>
      </c>
    </row>
    <row r="13" spans="1:15" x14ac:dyDescent="0.25">
      <c r="A13" s="5" t="str">
        <f>'T6'!A7</f>
        <v>2013-14</v>
      </c>
      <c r="B13" s="128">
        <f>'T6'!B7</f>
        <v>159</v>
      </c>
      <c r="C13" s="128">
        <f>'T6'!C7</f>
        <v>3842</v>
      </c>
      <c r="D13" s="128">
        <f>'T6'!D7</f>
        <v>178</v>
      </c>
      <c r="E13" s="128">
        <f>'T6'!E7</f>
        <v>2762</v>
      </c>
      <c r="F13" s="128">
        <f>'T6'!F7</f>
        <v>199</v>
      </c>
      <c r="G13" s="128">
        <f>'T6'!G7</f>
        <v>24</v>
      </c>
      <c r="H13" s="128">
        <f>'T6'!H7</f>
        <v>545</v>
      </c>
      <c r="I13" s="128">
        <f>'T6'!I7</f>
        <v>416</v>
      </c>
      <c r="J13" s="128">
        <f>'T6'!J7</f>
        <v>52</v>
      </c>
      <c r="K13" s="128">
        <f>'T6'!K7</f>
        <v>307</v>
      </c>
      <c r="L13" s="708">
        <f t="shared" si="0"/>
        <v>1133</v>
      </c>
      <c r="M13" s="77">
        <f t="shared" si="1"/>
        <v>7351</v>
      </c>
      <c r="N13" s="708">
        <f t="shared" si="2"/>
        <v>1081</v>
      </c>
      <c r="O13" s="718">
        <f t="shared" si="2"/>
        <v>7044</v>
      </c>
    </row>
    <row r="14" spans="1:15" x14ac:dyDescent="0.25">
      <c r="A14" s="5" t="str">
        <f>'T6'!A8</f>
        <v>2014-15</v>
      </c>
      <c r="B14" s="128">
        <f>'T6'!B8</f>
        <v>164</v>
      </c>
      <c r="C14" s="128">
        <f>'T6'!C8</f>
        <v>3692</v>
      </c>
      <c r="D14" s="128">
        <f>'T6'!D8</f>
        <v>172</v>
      </c>
      <c r="E14" s="128">
        <f>'T6'!E8</f>
        <v>2778</v>
      </c>
      <c r="F14" s="128">
        <f>'T6'!F8</f>
        <v>192</v>
      </c>
      <c r="G14" s="128">
        <f>'T6'!G8</f>
        <v>38</v>
      </c>
      <c r="H14" s="128">
        <f>'T6'!H8</f>
        <v>480</v>
      </c>
      <c r="I14" s="128">
        <f>'T6'!I8</f>
        <v>387</v>
      </c>
      <c r="J14" s="128">
        <f>'T6'!J8</f>
        <v>56</v>
      </c>
      <c r="K14" s="128">
        <f>'T6'!K8</f>
        <v>322</v>
      </c>
      <c r="L14" s="708">
        <f t="shared" si="0"/>
        <v>1064</v>
      </c>
      <c r="M14" s="77">
        <f t="shared" si="1"/>
        <v>7217</v>
      </c>
      <c r="N14" s="708">
        <f t="shared" si="2"/>
        <v>1008</v>
      </c>
      <c r="O14" s="718">
        <f t="shared" si="2"/>
        <v>6895</v>
      </c>
    </row>
    <row r="15" spans="1:15" x14ac:dyDescent="0.25">
      <c r="A15" s="5" t="str">
        <f>'T6'!A9</f>
        <v>2015-16</v>
      </c>
      <c r="B15" s="128">
        <f>'T6'!B9</f>
        <v>167</v>
      </c>
      <c r="C15" s="128">
        <f>'T6'!C9</f>
        <v>3523</v>
      </c>
      <c r="D15" s="128">
        <f>'T6'!D9</f>
        <v>163</v>
      </c>
      <c r="E15" s="128">
        <f>'T6'!E9</f>
        <v>2707</v>
      </c>
      <c r="F15" s="128">
        <f>'T6'!F9</f>
        <v>171</v>
      </c>
      <c r="G15" s="128">
        <f>'T6'!G9</f>
        <v>32</v>
      </c>
      <c r="H15" s="128">
        <f>'T6'!H9</f>
        <v>463</v>
      </c>
      <c r="I15" s="128">
        <f>'T6'!I9</f>
        <v>365</v>
      </c>
      <c r="J15" s="128">
        <f>'T6'!J9</f>
        <v>56</v>
      </c>
      <c r="K15" s="128">
        <f>'T6'!K9</f>
        <v>286</v>
      </c>
      <c r="L15" s="708">
        <f t="shared" si="0"/>
        <v>1020</v>
      </c>
      <c r="M15" s="77">
        <f t="shared" si="1"/>
        <v>6913</v>
      </c>
      <c r="N15" s="708">
        <f t="shared" si="2"/>
        <v>964</v>
      </c>
      <c r="O15" s="718">
        <f t="shared" si="2"/>
        <v>6627</v>
      </c>
    </row>
    <row r="16" spans="1:15" x14ac:dyDescent="0.25">
      <c r="A16" s="5" t="str">
        <f>'T6'!A10</f>
        <v>2016-17</v>
      </c>
      <c r="B16" s="128">
        <f>'T6'!B10</f>
        <v>178</v>
      </c>
      <c r="C16" s="128">
        <f>'T6'!C10</f>
        <v>3467</v>
      </c>
      <c r="D16" s="128">
        <f>'T6'!D10</f>
        <v>158</v>
      </c>
      <c r="E16" s="128">
        <f>'T6'!E10</f>
        <v>2712</v>
      </c>
      <c r="F16" s="128">
        <f>'T6'!F10</f>
        <v>139</v>
      </c>
      <c r="G16" s="128">
        <f>'T6'!G10</f>
        <v>26</v>
      </c>
      <c r="H16" s="128">
        <f>'T6'!H10</f>
        <v>466</v>
      </c>
      <c r="I16" s="128">
        <f>'T6'!I10</f>
        <v>372</v>
      </c>
      <c r="J16" s="128">
        <f>'T6'!J10</f>
        <v>48</v>
      </c>
      <c r="K16" s="128">
        <f>'T6'!K10</f>
        <v>268</v>
      </c>
      <c r="L16" s="708">
        <f t="shared" si="0"/>
        <v>989</v>
      </c>
      <c r="M16" s="77">
        <f t="shared" si="1"/>
        <v>6845</v>
      </c>
      <c r="N16" s="708">
        <f t="shared" si="2"/>
        <v>941</v>
      </c>
      <c r="O16" s="718">
        <f t="shared" si="2"/>
        <v>6577</v>
      </c>
    </row>
    <row r="17" spans="1:15" x14ac:dyDescent="0.25">
      <c r="A17" s="5" t="str">
        <f>'T6'!A11</f>
        <v>2017-18</v>
      </c>
      <c r="B17" s="128">
        <f>'T6'!B11</f>
        <v>175</v>
      </c>
      <c r="C17" s="128">
        <f>'T6'!C11</f>
        <v>3371</v>
      </c>
      <c r="D17" s="128">
        <f>'T6'!D11</f>
        <v>171</v>
      </c>
      <c r="E17" s="128">
        <f>'T6'!E11</f>
        <v>2692</v>
      </c>
      <c r="F17" s="128">
        <f>'T6'!F11</f>
        <v>158</v>
      </c>
      <c r="G17" s="128">
        <f>'T6'!G11</f>
        <v>31</v>
      </c>
      <c r="H17" s="128">
        <f>'T6'!H11</f>
        <v>476</v>
      </c>
      <c r="I17" s="128">
        <f>'T6'!I11</f>
        <v>370</v>
      </c>
      <c r="J17" s="128">
        <f>'T6'!J11</f>
        <v>55</v>
      </c>
      <c r="K17" s="128">
        <f>'T6'!K11</f>
        <v>277</v>
      </c>
      <c r="L17" s="708">
        <f t="shared" si="0"/>
        <v>1035</v>
      </c>
      <c r="M17" s="77">
        <f t="shared" si="1"/>
        <v>6741</v>
      </c>
      <c r="N17" s="708">
        <f t="shared" si="2"/>
        <v>980</v>
      </c>
      <c r="O17" s="718">
        <f t="shared" si="2"/>
        <v>6464</v>
      </c>
    </row>
    <row r="18" spans="1:15" x14ac:dyDescent="0.25">
      <c r="A18" s="19" t="str">
        <f>'T6'!A12</f>
        <v>2018-19</v>
      </c>
      <c r="B18" s="419">
        <f>'T6'!B12</f>
        <v>196</v>
      </c>
      <c r="C18" s="419">
        <f>'T6'!C12</f>
        <v>3441</v>
      </c>
      <c r="D18" s="419">
        <f>'T6'!D12</f>
        <v>202</v>
      </c>
      <c r="E18" s="419">
        <f>'T6'!E12</f>
        <v>2751</v>
      </c>
      <c r="F18" s="419">
        <f>'T6'!F12</f>
        <v>172</v>
      </c>
      <c r="G18" s="419">
        <f>'T6'!G12</f>
        <v>35</v>
      </c>
      <c r="H18" s="419">
        <f>'T6'!H12</f>
        <v>427</v>
      </c>
      <c r="I18" s="419">
        <f>'T6'!I12</f>
        <v>365</v>
      </c>
      <c r="J18" s="419">
        <f>'T6'!J12</f>
        <v>54</v>
      </c>
      <c r="K18" s="419">
        <f>'T6'!K12</f>
        <v>263</v>
      </c>
      <c r="L18" s="709">
        <f t="shared" si="0"/>
        <v>1051</v>
      </c>
      <c r="M18" s="130">
        <f t="shared" si="1"/>
        <v>6855</v>
      </c>
      <c r="N18" s="709">
        <f t="shared" si="2"/>
        <v>997</v>
      </c>
      <c r="O18" s="719">
        <f t="shared" si="2"/>
        <v>6592</v>
      </c>
    </row>
    <row r="19" spans="1:15" x14ac:dyDescent="0.25">
      <c r="A19" s="5"/>
      <c r="B19" s="129"/>
      <c r="C19" s="129"/>
      <c r="D19" s="129"/>
      <c r="E19" s="129"/>
      <c r="F19" s="129"/>
      <c r="G19" s="129"/>
      <c r="H19" s="129"/>
      <c r="I19" s="129"/>
      <c r="J19" s="129"/>
      <c r="K19" s="129"/>
      <c r="L19" s="77"/>
      <c r="M19" s="77"/>
      <c r="N19" s="77"/>
      <c r="O19" s="77"/>
    </row>
    <row r="20" spans="1:15" x14ac:dyDescent="0.25">
      <c r="A20" s="5"/>
      <c r="B20" s="129"/>
      <c r="C20" s="129"/>
      <c r="D20" s="129"/>
      <c r="E20" s="129"/>
      <c r="F20" s="129"/>
      <c r="G20" s="129"/>
      <c r="H20" s="129"/>
      <c r="I20" s="129"/>
      <c r="J20" s="129"/>
      <c r="K20" s="129"/>
      <c r="L20" s="77"/>
      <c r="M20" s="77"/>
      <c r="N20" s="77"/>
      <c r="O20" s="132" t="s">
        <v>7</v>
      </c>
    </row>
    <row r="21" spans="1:15" ht="27.75" customHeight="1" x14ac:dyDescent="0.25">
      <c r="A21" s="268" t="s">
        <v>7</v>
      </c>
      <c r="B21" s="1008" t="s">
        <v>92</v>
      </c>
      <c r="C21" s="1008"/>
      <c r="D21" s="1011" t="s">
        <v>28</v>
      </c>
      <c r="E21" s="1011"/>
      <c r="F21" s="1008" t="s">
        <v>2</v>
      </c>
      <c r="G21" s="1008"/>
      <c r="H21" s="1008" t="s">
        <v>93</v>
      </c>
      <c r="I21" s="1008"/>
      <c r="J21" s="1011" t="s">
        <v>29</v>
      </c>
      <c r="K21" s="1011"/>
      <c r="L21" s="1008" t="s">
        <v>26</v>
      </c>
      <c r="M21" s="1008"/>
      <c r="N21" s="1009" t="s">
        <v>94</v>
      </c>
      <c r="O21" s="1010"/>
    </row>
    <row r="22" spans="1:15" x14ac:dyDescent="0.25">
      <c r="A22" s="714" t="s">
        <v>1</v>
      </c>
      <c r="B22" s="706" t="s">
        <v>95</v>
      </c>
      <c r="C22" s="706" t="s">
        <v>96</v>
      </c>
      <c r="D22" s="706" t="s">
        <v>95</v>
      </c>
      <c r="E22" s="706" t="s">
        <v>96</v>
      </c>
      <c r="F22" s="706" t="s">
        <v>95</v>
      </c>
      <c r="G22" s="706" t="s">
        <v>96</v>
      </c>
      <c r="H22" s="706" t="s">
        <v>95</v>
      </c>
      <c r="I22" s="706" t="s">
        <v>96</v>
      </c>
      <c r="J22" s="706" t="s">
        <v>95</v>
      </c>
      <c r="K22" s="706" t="s">
        <v>96</v>
      </c>
      <c r="L22" s="706" t="s">
        <v>95</v>
      </c>
      <c r="M22" s="706" t="s">
        <v>96</v>
      </c>
      <c r="N22" s="706" t="s">
        <v>95</v>
      </c>
      <c r="O22" s="706" t="s">
        <v>96</v>
      </c>
    </row>
    <row r="23" spans="1:15" x14ac:dyDescent="0.25">
      <c r="A23" s="5" t="str">
        <f>A11</f>
        <v>2011-12</v>
      </c>
      <c r="B23" s="133">
        <f>B11/(B11+C11)</f>
        <v>3.558547727819187E-2</v>
      </c>
      <c r="C23" s="133">
        <f>C11/(B11+C11)</f>
        <v>0.96441452272180817</v>
      </c>
      <c r="D23" s="133">
        <f>D11/(D11+E11)</f>
        <v>5.9633027522935783E-2</v>
      </c>
      <c r="E23" s="133">
        <f>E11/(D11+E11)</f>
        <v>0.94036697247706424</v>
      </c>
      <c r="F23" s="133">
        <f>F11/(F11+G11)</f>
        <v>0.86324786324786329</v>
      </c>
      <c r="G23" s="133">
        <f>G11/(F11+G11)</f>
        <v>0.13675213675213677</v>
      </c>
      <c r="H23" s="133">
        <f>H11/(H11+I11)</f>
        <v>0.57130281690140849</v>
      </c>
      <c r="I23" s="133">
        <f>I11/(I11+H11)</f>
        <v>0.42869718309859156</v>
      </c>
      <c r="J23" s="133">
        <f>J11/(J11+K11)</f>
        <v>0.12854030501089325</v>
      </c>
      <c r="K23" s="133">
        <f>K11/(K11+J11)</f>
        <v>0.8714596949891068</v>
      </c>
      <c r="L23" s="710">
        <f>L11/(L11+M11)</f>
        <v>0.13716814159292035</v>
      </c>
      <c r="M23" s="133">
        <f>M11/(L11+M11)</f>
        <v>0.86283185840707965</v>
      </c>
      <c r="N23" s="710">
        <f>N11/(N11+O11)</f>
        <v>0.13762964689430138</v>
      </c>
      <c r="O23" s="720">
        <f>O11/(N11+O11)</f>
        <v>0.86237035310569865</v>
      </c>
    </row>
    <row r="24" spans="1:15" x14ac:dyDescent="0.25">
      <c r="A24" s="5" t="str">
        <f>A12</f>
        <v>2012-13</v>
      </c>
      <c r="B24" s="133">
        <f>B12/(B12+C12)</f>
        <v>3.8063117321127438E-2</v>
      </c>
      <c r="C24" s="133">
        <f>C12/(B12+C12)</f>
        <v>0.96193688267887256</v>
      </c>
      <c r="D24" s="133">
        <f>D12/(D12+E12)</f>
        <v>5.6241872561768533E-2</v>
      </c>
      <c r="E24" s="133">
        <f>E12/(D12+E12)</f>
        <v>0.94375812743823151</v>
      </c>
      <c r="F24" s="133">
        <f>F12/(F12+G12)</f>
        <v>0.86752136752136755</v>
      </c>
      <c r="G24" s="133">
        <f>G12/(F12+G12)</f>
        <v>0.13247863247863248</v>
      </c>
      <c r="H24" s="133">
        <f>H12/(H12+I12)</f>
        <v>0.55616942909760592</v>
      </c>
      <c r="I24" s="133">
        <f>I12/(I12+H12)</f>
        <v>0.44383057090239408</v>
      </c>
      <c r="J24" s="133">
        <f>J12/(J12+K12)</f>
        <v>0.12470023980815348</v>
      </c>
      <c r="K24" s="133">
        <f>K12/(K12+J12)</f>
        <v>0.87529976019184652</v>
      </c>
      <c r="L24" s="711">
        <f>L12/(L12+M12)</f>
        <v>0.13275323516287371</v>
      </c>
      <c r="M24" s="133">
        <f>M12/(L12+M12)</f>
        <v>0.86724676483712626</v>
      </c>
      <c r="N24" s="711">
        <f>N12/(N12+O12)</f>
        <v>0.13314613314613313</v>
      </c>
      <c r="O24" s="721">
        <f>O12/(N12+O12)</f>
        <v>0.86685386685386689</v>
      </c>
    </row>
    <row r="25" spans="1:15" x14ac:dyDescent="0.25">
      <c r="A25" s="5" t="str">
        <f t="shared" ref="A25:A30" si="3">A13</f>
        <v>2013-14</v>
      </c>
      <c r="B25" s="133">
        <f t="shared" ref="B25:B30" si="4">B13/(B13+C13)</f>
        <v>3.9740064983754063E-2</v>
      </c>
      <c r="C25" s="133">
        <f t="shared" ref="C25:C30" si="5">C13/(B13+C13)</f>
        <v>0.96025993501624596</v>
      </c>
      <c r="D25" s="133">
        <f t="shared" ref="D25:D30" si="6">D13/(D13+E13)</f>
        <v>6.0544217687074832E-2</v>
      </c>
      <c r="E25" s="133">
        <f t="shared" ref="E25:E30" si="7">E13/(D13+E13)</f>
        <v>0.93945578231292515</v>
      </c>
      <c r="F25" s="133">
        <f t="shared" ref="F25:F30" si="8">F13/(F13+G13)</f>
        <v>0.8923766816143498</v>
      </c>
      <c r="G25" s="133">
        <f t="shared" ref="G25:G30" si="9">G13/(F13+G13)</f>
        <v>0.10762331838565023</v>
      </c>
      <c r="H25" s="133">
        <f t="shared" ref="H25:H30" si="10">H13/(H13+I13)</f>
        <v>0.56711758584807492</v>
      </c>
      <c r="I25" s="133">
        <f t="shared" ref="I25:I30" si="11">I13/(I13+H13)</f>
        <v>0.43288241415192508</v>
      </c>
      <c r="J25" s="133">
        <f t="shared" ref="J25:J30" si="12">J13/(J13+K13)</f>
        <v>0.14484679665738162</v>
      </c>
      <c r="K25" s="133">
        <f t="shared" ref="K25:K30" si="13">K13/(K13+J13)</f>
        <v>0.85515320334261835</v>
      </c>
      <c r="L25" s="711">
        <f t="shared" ref="L25:L30" si="14">L13/(L13+M13)</f>
        <v>0.13354549740688354</v>
      </c>
      <c r="M25" s="133">
        <f t="shared" ref="M25:M30" si="15">M13/(L13+M13)</f>
        <v>0.8664545025931164</v>
      </c>
      <c r="N25" s="711">
        <f t="shared" ref="N25:N30" si="16">N13/(N13+O13)</f>
        <v>0.13304615384615384</v>
      </c>
      <c r="O25" s="721">
        <f t="shared" ref="O25:O30" si="17">O13/(N13+O13)</f>
        <v>0.86695384615384619</v>
      </c>
    </row>
    <row r="26" spans="1:15" x14ac:dyDescent="0.25">
      <c r="A26" s="5" t="str">
        <f t="shared" si="3"/>
        <v>2014-15</v>
      </c>
      <c r="B26" s="133">
        <f t="shared" si="4"/>
        <v>4.2531120331950209E-2</v>
      </c>
      <c r="C26" s="133">
        <f t="shared" si="5"/>
        <v>0.95746887966804983</v>
      </c>
      <c r="D26" s="133">
        <f t="shared" si="6"/>
        <v>5.8305084745762709E-2</v>
      </c>
      <c r="E26" s="133">
        <f t="shared" si="7"/>
        <v>0.94169491525423732</v>
      </c>
      <c r="F26" s="133">
        <f t="shared" si="8"/>
        <v>0.83478260869565213</v>
      </c>
      <c r="G26" s="133">
        <f t="shared" si="9"/>
        <v>0.16521739130434782</v>
      </c>
      <c r="H26" s="133">
        <f t="shared" si="10"/>
        <v>0.55363321799307963</v>
      </c>
      <c r="I26" s="133">
        <f t="shared" si="11"/>
        <v>0.44636678200692043</v>
      </c>
      <c r="J26" s="133">
        <f t="shared" si="12"/>
        <v>0.14814814814814814</v>
      </c>
      <c r="K26" s="133">
        <f t="shared" si="13"/>
        <v>0.85185185185185186</v>
      </c>
      <c r="L26" s="711">
        <f t="shared" si="14"/>
        <v>0.12848689771766694</v>
      </c>
      <c r="M26" s="133">
        <f t="shared" si="15"/>
        <v>0.87151310228233303</v>
      </c>
      <c r="N26" s="711">
        <f t="shared" si="16"/>
        <v>0.1275465013286094</v>
      </c>
      <c r="O26" s="721">
        <f t="shared" si="17"/>
        <v>0.87245349867139066</v>
      </c>
    </row>
    <row r="27" spans="1:15" x14ac:dyDescent="0.25">
      <c r="A27" s="5" t="str">
        <f t="shared" si="3"/>
        <v>2015-16</v>
      </c>
      <c r="B27" s="133">
        <f t="shared" si="4"/>
        <v>4.5257452574525743E-2</v>
      </c>
      <c r="C27" s="133">
        <f t="shared" si="5"/>
        <v>0.95474254742547426</v>
      </c>
      <c r="D27" s="133">
        <f t="shared" si="6"/>
        <v>5.6794425087108011E-2</v>
      </c>
      <c r="E27" s="133">
        <f t="shared" si="7"/>
        <v>0.94320557491289203</v>
      </c>
      <c r="F27" s="133">
        <f t="shared" si="8"/>
        <v>0.8423645320197044</v>
      </c>
      <c r="G27" s="133">
        <f t="shared" si="9"/>
        <v>0.15763546798029557</v>
      </c>
      <c r="H27" s="133">
        <f t="shared" si="10"/>
        <v>0.5591787439613527</v>
      </c>
      <c r="I27" s="133">
        <f t="shared" si="11"/>
        <v>0.44082125603864736</v>
      </c>
      <c r="J27" s="133">
        <f t="shared" si="12"/>
        <v>0.16374269005847952</v>
      </c>
      <c r="K27" s="133">
        <f t="shared" si="13"/>
        <v>0.83625730994152048</v>
      </c>
      <c r="L27" s="711">
        <f t="shared" si="14"/>
        <v>0.12857683095928402</v>
      </c>
      <c r="M27" s="133">
        <f t="shared" si="15"/>
        <v>0.87142316904071604</v>
      </c>
      <c r="N27" s="711">
        <f t="shared" si="16"/>
        <v>0.12699249110789093</v>
      </c>
      <c r="O27" s="721">
        <f t="shared" si="17"/>
        <v>0.8730075088921091</v>
      </c>
    </row>
    <row r="28" spans="1:15" x14ac:dyDescent="0.25">
      <c r="A28" s="5" t="str">
        <f t="shared" si="3"/>
        <v>2016-17</v>
      </c>
      <c r="B28" s="133">
        <f t="shared" si="4"/>
        <v>4.8834019204389574E-2</v>
      </c>
      <c r="C28" s="133">
        <f t="shared" si="5"/>
        <v>0.95116598079561043</v>
      </c>
      <c r="D28" s="133">
        <f t="shared" si="6"/>
        <v>5.5052264808362367E-2</v>
      </c>
      <c r="E28" s="133">
        <f t="shared" si="7"/>
        <v>0.94494773519163766</v>
      </c>
      <c r="F28" s="133">
        <f t="shared" si="8"/>
        <v>0.84242424242424241</v>
      </c>
      <c r="G28" s="133">
        <f t="shared" si="9"/>
        <v>0.15757575757575756</v>
      </c>
      <c r="H28" s="133">
        <f t="shared" si="10"/>
        <v>0.55608591885441527</v>
      </c>
      <c r="I28" s="133">
        <f t="shared" si="11"/>
        <v>0.44391408114558473</v>
      </c>
      <c r="J28" s="133">
        <f t="shared" si="12"/>
        <v>0.15189873417721519</v>
      </c>
      <c r="K28" s="133">
        <f t="shared" si="13"/>
        <v>0.84810126582278478</v>
      </c>
      <c r="L28" s="711">
        <f t="shared" si="14"/>
        <v>0.12624457492979321</v>
      </c>
      <c r="M28" s="133">
        <f t="shared" si="15"/>
        <v>0.87375542507020676</v>
      </c>
      <c r="N28" s="711">
        <f t="shared" si="16"/>
        <v>0.12516626762436819</v>
      </c>
      <c r="O28" s="721">
        <f t="shared" si="17"/>
        <v>0.87483373237563178</v>
      </c>
    </row>
    <row r="29" spans="1:15" x14ac:dyDescent="0.25">
      <c r="A29" s="134" t="str">
        <f t="shared" si="3"/>
        <v>2017-18</v>
      </c>
      <c r="B29" s="133">
        <f t="shared" si="4"/>
        <v>4.9351381838691484E-2</v>
      </c>
      <c r="C29" s="133">
        <f t="shared" si="5"/>
        <v>0.95064861816130852</v>
      </c>
      <c r="D29" s="133">
        <f t="shared" si="6"/>
        <v>5.9727558505064615E-2</v>
      </c>
      <c r="E29" s="133">
        <f t="shared" si="7"/>
        <v>0.94027244149493538</v>
      </c>
      <c r="F29" s="133">
        <f t="shared" si="8"/>
        <v>0.83597883597883593</v>
      </c>
      <c r="G29" s="133">
        <f t="shared" si="9"/>
        <v>0.16402116402116401</v>
      </c>
      <c r="H29" s="133">
        <f t="shared" si="10"/>
        <v>0.56264775413711587</v>
      </c>
      <c r="I29" s="133">
        <f t="shared" si="11"/>
        <v>0.43735224586288418</v>
      </c>
      <c r="J29" s="133">
        <f t="shared" si="12"/>
        <v>0.16566265060240964</v>
      </c>
      <c r="K29" s="133">
        <f t="shared" si="13"/>
        <v>0.83433734939759041</v>
      </c>
      <c r="L29" s="711">
        <f t="shared" si="14"/>
        <v>0.13310185185185186</v>
      </c>
      <c r="M29" s="133">
        <f t="shared" si="15"/>
        <v>0.86689814814814814</v>
      </c>
      <c r="N29" s="711">
        <f t="shared" si="16"/>
        <v>0.13164965072541646</v>
      </c>
      <c r="O29" s="721">
        <f t="shared" si="17"/>
        <v>0.86835034927458354</v>
      </c>
    </row>
    <row r="30" spans="1:15" x14ac:dyDescent="0.25">
      <c r="A30" s="135" t="str">
        <f t="shared" si="3"/>
        <v>2018-19</v>
      </c>
      <c r="B30" s="136">
        <f t="shared" si="4"/>
        <v>5.3890569150398679E-2</v>
      </c>
      <c r="C30" s="136">
        <f t="shared" si="5"/>
        <v>0.94610943084960131</v>
      </c>
      <c r="D30" s="136">
        <f t="shared" si="6"/>
        <v>6.8405011852353537E-2</v>
      </c>
      <c r="E30" s="136">
        <f t="shared" si="7"/>
        <v>0.93159498814764641</v>
      </c>
      <c r="F30" s="136">
        <f t="shared" si="8"/>
        <v>0.83091787439613529</v>
      </c>
      <c r="G30" s="136">
        <f t="shared" si="9"/>
        <v>0.16908212560386474</v>
      </c>
      <c r="H30" s="136">
        <f t="shared" si="10"/>
        <v>0.53914141414141414</v>
      </c>
      <c r="I30" s="136">
        <f t="shared" si="11"/>
        <v>0.46085858585858586</v>
      </c>
      <c r="J30" s="136">
        <f t="shared" si="12"/>
        <v>0.17034700315457413</v>
      </c>
      <c r="K30" s="136">
        <f t="shared" si="13"/>
        <v>0.82965299684542582</v>
      </c>
      <c r="L30" s="712">
        <f t="shared" si="14"/>
        <v>0.1329370098659246</v>
      </c>
      <c r="M30" s="136">
        <f t="shared" si="15"/>
        <v>0.8670629901340754</v>
      </c>
      <c r="N30" s="712">
        <f t="shared" si="16"/>
        <v>0.13137435762287522</v>
      </c>
      <c r="O30" s="722">
        <f t="shared" si="17"/>
        <v>0.86862564237712481</v>
      </c>
    </row>
    <row r="31" spans="1:15" x14ac:dyDescent="0.25">
      <c r="A31" s="13"/>
      <c r="B31" s="13"/>
      <c r="C31" s="131"/>
      <c r="D31" s="131"/>
      <c r="E31" s="131"/>
      <c r="F31" s="131"/>
      <c r="G31" s="131"/>
      <c r="H31" s="131"/>
      <c r="I31" s="131"/>
      <c r="J31" s="131"/>
      <c r="K31" s="131"/>
      <c r="L31" s="131"/>
      <c r="M31" s="131"/>
      <c r="N31" s="131"/>
      <c r="O31" s="131"/>
    </row>
    <row r="32" spans="1:15" ht="15" customHeight="1" x14ac:dyDescent="0.25">
      <c r="A32" s="1000" t="str">
        <f>"One Year Change " &amp; A17 &amp; " to " &amp; A18</f>
        <v>One Year Change 2017-18 to 2018-19</v>
      </c>
      <c r="B32" s="1000"/>
      <c r="C32" s="1000"/>
      <c r="D32" s="13"/>
      <c r="E32" s="13"/>
      <c r="F32" s="13"/>
      <c r="G32" s="13"/>
      <c r="H32" s="13"/>
      <c r="I32" s="13"/>
      <c r="J32" s="28"/>
      <c r="K32" s="126"/>
      <c r="L32" s="16"/>
      <c r="M32" s="16"/>
      <c r="N32" s="28"/>
      <c r="O32" s="28"/>
    </row>
    <row r="33" spans="1:15" x14ac:dyDescent="0.25">
      <c r="A33" s="25" t="s">
        <v>6</v>
      </c>
      <c r="B33" s="137">
        <f t="shared" ref="B33:O33" si="18">B18-B17</f>
        <v>21</v>
      </c>
      <c r="C33" s="137">
        <f t="shared" si="18"/>
        <v>70</v>
      </c>
      <c r="D33" s="137">
        <f t="shared" si="18"/>
        <v>31</v>
      </c>
      <c r="E33" s="137">
        <f t="shared" si="18"/>
        <v>59</v>
      </c>
      <c r="F33" s="137">
        <f t="shared" si="18"/>
        <v>14</v>
      </c>
      <c r="G33" s="137">
        <f t="shared" si="18"/>
        <v>4</v>
      </c>
      <c r="H33" s="137">
        <f t="shared" si="18"/>
        <v>-49</v>
      </c>
      <c r="I33" s="137">
        <f t="shared" si="18"/>
        <v>-5</v>
      </c>
      <c r="J33" s="137">
        <f t="shared" si="18"/>
        <v>-1</v>
      </c>
      <c r="K33" s="137">
        <f t="shared" si="18"/>
        <v>-14</v>
      </c>
      <c r="L33" s="715">
        <f t="shared" si="18"/>
        <v>16</v>
      </c>
      <c r="M33" s="137">
        <f t="shared" si="18"/>
        <v>114</v>
      </c>
      <c r="N33" s="715">
        <f t="shared" si="18"/>
        <v>17</v>
      </c>
      <c r="O33" s="723">
        <f t="shared" si="18"/>
        <v>128</v>
      </c>
    </row>
    <row r="34" spans="1:15" ht="15.75" thickBot="1" x14ac:dyDescent="0.3">
      <c r="A34" s="11" t="s">
        <v>7</v>
      </c>
      <c r="B34" s="12">
        <f t="shared" ref="B34:O34" si="19">B33/B17</f>
        <v>0.12</v>
      </c>
      <c r="C34" s="12">
        <f t="shared" si="19"/>
        <v>2.0765351527736578E-2</v>
      </c>
      <c r="D34" s="12">
        <f t="shared" si="19"/>
        <v>0.18128654970760233</v>
      </c>
      <c r="E34" s="12">
        <f t="shared" si="19"/>
        <v>2.1916790490341752E-2</v>
      </c>
      <c r="F34" s="12">
        <f t="shared" si="19"/>
        <v>8.8607594936708861E-2</v>
      </c>
      <c r="G34" s="12">
        <f t="shared" si="19"/>
        <v>0.12903225806451613</v>
      </c>
      <c r="H34" s="12">
        <f t="shared" si="19"/>
        <v>-0.10294117647058823</v>
      </c>
      <c r="I34" s="12">
        <f t="shared" si="19"/>
        <v>-1.3513513513513514E-2</v>
      </c>
      <c r="J34" s="12">
        <f t="shared" si="19"/>
        <v>-1.8181818181818181E-2</v>
      </c>
      <c r="K34" s="12">
        <f t="shared" si="19"/>
        <v>-5.0541516245487361E-2</v>
      </c>
      <c r="L34" s="716">
        <f t="shared" si="19"/>
        <v>1.5458937198067632E-2</v>
      </c>
      <c r="M34" s="12">
        <f t="shared" si="19"/>
        <v>1.6911437472185136E-2</v>
      </c>
      <c r="N34" s="716">
        <f t="shared" si="19"/>
        <v>1.7346938775510204E-2</v>
      </c>
      <c r="O34" s="724">
        <f t="shared" si="19"/>
        <v>1.9801980198019802E-2</v>
      </c>
    </row>
    <row r="35" spans="1:15" x14ac:dyDescent="0.25">
      <c r="A35" s="13"/>
      <c r="B35" s="14"/>
      <c r="C35" s="14"/>
      <c r="D35" s="14"/>
      <c r="E35" s="14"/>
      <c r="F35" s="14"/>
      <c r="G35" s="14"/>
      <c r="H35" s="14"/>
      <c r="I35" s="13"/>
      <c r="J35" s="28"/>
      <c r="K35" s="126"/>
      <c r="L35" s="13"/>
      <c r="M35" s="13"/>
      <c r="N35" s="124"/>
      <c r="O35" s="124"/>
    </row>
    <row r="36" spans="1:15" x14ac:dyDescent="0.25">
      <c r="A36" s="1000" t="str">
        <f>"Five Year Change " &amp; A13 &amp; " to " &amp; A18</f>
        <v>Five Year Change 2013-14 to 2018-19</v>
      </c>
      <c r="B36" s="1000"/>
      <c r="C36" s="1000"/>
      <c r="D36" s="13"/>
      <c r="E36" s="13"/>
      <c r="F36" s="13"/>
      <c r="G36" s="13"/>
      <c r="H36" s="13"/>
      <c r="I36" s="13"/>
      <c r="J36" s="28"/>
      <c r="K36" s="126"/>
      <c r="L36" s="16"/>
      <c r="M36" s="16"/>
      <c r="N36" s="28"/>
      <c r="O36" s="28"/>
    </row>
    <row r="37" spans="1:15" x14ac:dyDescent="0.25">
      <c r="A37" s="25" t="s">
        <v>6</v>
      </c>
      <c r="B37" s="137">
        <f t="shared" ref="B37:O37" si="20">B18-B13</f>
        <v>37</v>
      </c>
      <c r="C37" s="137">
        <f t="shared" si="20"/>
        <v>-401</v>
      </c>
      <c r="D37" s="137">
        <f t="shared" si="20"/>
        <v>24</v>
      </c>
      <c r="E37" s="137">
        <f t="shared" si="20"/>
        <v>-11</v>
      </c>
      <c r="F37" s="137">
        <f t="shared" si="20"/>
        <v>-27</v>
      </c>
      <c r="G37" s="137">
        <f t="shared" si="20"/>
        <v>11</v>
      </c>
      <c r="H37" s="137">
        <f t="shared" si="20"/>
        <v>-118</v>
      </c>
      <c r="I37" s="137">
        <f t="shared" si="20"/>
        <v>-51</v>
      </c>
      <c r="J37" s="137">
        <f t="shared" si="20"/>
        <v>2</v>
      </c>
      <c r="K37" s="137">
        <f t="shared" si="20"/>
        <v>-44</v>
      </c>
      <c r="L37" s="715">
        <f t="shared" si="20"/>
        <v>-82</v>
      </c>
      <c r="M37" s="137">
        <f t="shared" si="20"/>
        <v>-496</v>
      </c>
      <c r="N37" s="715">
        <f t="shared" si="20"/>
        <v>-84</v>
      </c>
      <c r="O37" s="723">
        <f t="shared" si="20"/>
        <v>-452</v>
      </c>
    </row>
    <row r="38" spans="1:15" ht="15.75" thickBot="1" x14ac:dyDescent="0.3">
      <c r="A38" s="11" t="s">
        <v>7</v>
      </c>
      <c r="B38" s="12">
        <f>B37/B18</f>
        <v>0.18877551020408162</v>
      </c>
      <c r="C38" s="12">
        <f>C37/C13</f>
        <v>-0.10437272254034358</v>
      </c>
      <c r="D38" s="12">
        <f>D37/D13</f>
        <v>0.1348314606741573</v>
      </c>
      <c r="E38" s="12">
        <f>E37/E18</f>
        <v>-3.9985459832788074E-3</v>
      </c>
      <c r="F38" s="12">
        <f>F37/F13</f>
        <v>-0.135678391959799</v>
      </c>
      <c r="G38" s="12">
        <f>G37/G18</f>
        <v>0.31428571428571428</v>
      </c>
      <c r="H38" s="12">
        <f>H37/H13</f>
        <v>-0.21651376146788992</v>
      </c>
      <c r="I38" s="12">
        <f>I37/I18</f>
        <v>-0.13972602739726028</v>
      </c>
      <c r="J38" s="12">
        <f>J37/J13</f>
        <v>3.8461538461538464E-2</v>
      </c>
      <c r="K38" s="12">
        <f>K37/K18</f>
        <v>-0.16730038022813687</v>
      </c>
      <c r="L38" s="716">
        <f>L37/L13</f>
        <v>-7.237422771403354E-2</v>
      </c>
      <c r="M38" s="12">
        <f>M37/M18</f>
        <v>-7.2355944566010216E-2</v>
      </c>
      <c r="N38" s="716">
        <f>N37/N13</f>
        <v>-7.7705827937095281E-2</v>
      </c>
      <c r="O38" s="724">
        <f>O37/O18</f>
        <v>-6.8567961165048541E-2</v>
      </c>
    </row>
  </sheetData>
  <sheetProtection algorithmName="SHA-512" hashValue="tqHVU3BbnAofZgRZ5iQjEz3u7ouCJn3CHw4dm3ghzijBeo344VPoxOcfkcM6Z3YGB+ZQfo8eqCIO07AJ1OrqDQ==" saltValue="2Z2DURP2mrJ0oarwglCuxg==" spinCount="100000" sheet="1" objects="1" scenarios="1"/>
  <mergeCells count="18">
    <mergeCell ref="A36:C36"/>
    <mergeCell ref="A32:C32"/>
    <mergeCell ref="B21:C21"/>
    <mergeCell ref="D21:E21"/>
    <mergeCell ref="F21:G21"/>
    <mergeCell ref="L9:M9"/>
    <mergeCell ref="N9:O9"/>
    <mergeCell ref="A1:E1"/>
    <mergeCell ref="J21:K21"/>
    <mergeCell ref="L21:M21"/>
    <mergeCell ref="N21:O21"/>
    <mergeCell ref="H21:I21"/>
    <mergeCell ref="A4:O4"/>
    <mergeCell ref="B9:C9"/>
    <mergeCell ref="D9:E9"/>
    <mergeCell ref="F9:G9"/>
    <mergeCell ref="H9:I9"/>
    <mergeCell ref="J9:K9"/>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3" orientation="landscape" r:id="rId1"/>
  <ignoredErrors>
    <ignoredError sqref="C23:C30 E23:E30 G23:G30 I23:I30 K23:K30 M23:N24 M26:N30 E38 G38 I38 K38 M38:N38 D23:D25 F23:F25 J23:J25 M25:N25"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39997558519241921"/>
    <pageSetUpPr fitToPage="1"/>
  </sheetPr>
  <dimension ref="A1:G17"/>
  <sheetViews>
    <sheetView showGridLines="0" workbookViewId="0">
      <pane ySplit="2" topLeftCell="A3" activePane="bottomLeft" state="frozen"/>
      <selection sqref="A1:C1"/>
      <selection pane="bottomLeft" sqref="A1:C1"/>
    </sheetView>
  </sheetViews>
  <sheetFormatPr defaultRowHeight="15" x14ac:dyDescent="0.25"/>
  <cols>
    <col min="1" max="1" width="25" customWidth="1"/>
    <col min="2" max="3" width="7.7109375" customWidth="1"/>
    <col min="4" max="4" width="11.42578125" customWidth="1"/>
    <col min="5" max="6" width="7.7109375" customWidth="1"/>
    <col min="7" max="7" width="11.5703125" customWidth="1"/>
  </cols>
  <sheetData>
    <row r="1" spans="1:7" ht="15.75" x14ac:dyDescent="0.25">
      <c r="A1" s="993" t="s">
        <v>523</v>
      </c>
      <c r="B1" s="993"/>
      <c r="C1" s="993"/>
    </row>
    <row r="2" spans="1:7" x14ac:dyDescent="0.25">
      <c r="A2" s="790" t="s">
        <v>598</v>
      </c>
    </row>
    <row r="3" spans="1:7" x14ac:dyDescent="0.25">
      <c r="A3" s="31"/>
      <c r="B3" s="31"/>
      <c r="C3" s="31"/>
      <c r="D3" s="31"/>
      <c r="E3" s="31"/>
      <c r="F3" s="31"/>
      <c r="G3" s="31"/>
    </row>
    <row r="4" spans="1:7" ht="22.5" customHeight="1" x14ac:dyDescent="0.25">
      <c r="A4" s="1013" t="s">
        <v>538</v>
      </c>
      <c r="B4" s="1013"/>
      <c r="C4" s="1013"/>
      <c r="D4" s="1013"/>
      <c r="E4" s="1013"/>
      <c r="F4" s="1013"/>
      <c r="G4" s="1013"/>
    </row>
    <row r="5" spans="1:7" ht="15" customHeight="1" x14ac:dyDescent="0.25">
      <c r="A5" t="s">
        <v>368</v>
      </c>
      <c r="B5" t="s">
        <v>784</v>
      </c>
      <c r="C5" s="628"/>
      <c r="D5" s="637"/>
      <c r="E5" s="637"/>
      <c r="F5" s="637"/>
      <c r="G5" s="637"/>
    </row>
    <row r="6" spans="1:7" ht="15" customHeight="1" x14ac:dyDescent="0.25">
      <c r="A6" t="s">
        <v>369</v>
      </c>
      <c r="B6" t="s">
        <v>371</v>
      </c>
      <c r="C6" s="628"/>
      <c r="D6" s="637"/>
      <c r="E6" s="637"/>
      <c r="F6" s="637"/>
      <c r="G6" s="637"/>
    </row>
    <row r="7" spans="1:7" ht="15" customHeight="1" x14ac:dyDescent="0.25">
      <c r="A7" t="s">
        <v>370</v>
      </c>
      <c r="B7" t="s">
        <v>372</v>
      </c>
      <c r="C7" s="628"/>
      <c r="D7" s="637"/>
      <c r="E7" s="637"/>
      <c r="F7" s="637"/>
      <c r="G7" s="637"/>
    </row>
    <row r="8" spans="1:7" x14ac:dyDescent="0.25">
      <c r="A8" s="182"/>
      <c r="B8" s="182"/>
      <c r="C8" s="182"/>
      <c r="D8" s="550" t="s">
        <v>6</v>
      </c>
      <c r="E8" s="79"/>
      <c r="F8" s="79"/>
      <c r="G8" s="183" t="s">
        <v>7</v>
      </c>
    </row>
    <row r="9" spans="1:7" ht="25.5" x14ac:dyDescent="0.25">
      <c r="A9" s="184" t="s">
        <v>542</v>
      </c>
      <c r="B9" s="185" t="s">
        <v>95</v>
      </c>
      <c r="C9" s="185" t="s">
        <v>96</v>
      </c>
      <c r="D9" s="185" t="s">
        <v>26</v>
      </c>
      <c r="E9" s="735" t="s">
        <v>95</v>
      </c>
      <c r="F9" s="185" t="s">
        <v>96</v>
      </c>
      <c r="G9" s="185" t="s">
        <v>26</v>
      </c>
    </row>
    <row r="10" spans="1:7" x14ac:dyDescent="0.25">
      <c r="A10" s="152" t="s">
        <v>27</v>
      </c>
      <c r="B10" s="187">
        <f>GETPIVOTDATA("Sum of Female",'h8'!$A$4,"Type","WT")</f>
        <v>196</v>
      </c>
      <c r="C10" s="187">
        <f>GETPIVOTDATA("Sum of Male",'h8'!$A$4,"Type","WT")</f>
        <v>3441</v>
      </c>
      <c r="D10" s="189">
        <f>B10+C10</f>
        <v>3637</v>
      </c>
      <c r="E10" s="736">
        <f t="shared" ref="E10:E15" si="0">B10/D10</f>
        <v>5.3890569150398679E-2</v>
      </c>
      <c r="F10" s="190">
        <f t="shared" ref="F10:F15" si="1">C10/D10</f>
        <v>0.94610943084960131</v>
      </c>
      <c r="G10" s="190">
        <f>D10/$D$15</f>
        <v>0.46003035669112069</v>
      </c>
    </row>
    <row r="11" spans="1:7" x14ac:dyDescent="0.25">
      <c r="A11" s="439" t="s">
        <v>28</v>
      </c>
      <c r="B11" s="187">
        <f>GETPIVOTDATA("Sum of Female",'h8'!$A$4,"Type","RDS")</f>
        <v>202</v>
      </c>
      <c r="C11" s="187">
        <f>GETPIVOTDATA("Sum of Male",'h8'!$A$4,"Type","RDS")</f>
        <v>2751</v>
      </c>
      <c r="D11" s="189">
        <f>B11+C11</f>
        <v>2953</v>
      </c>
      <c r="E11" s="736">
        <f t="shared" si="0"/>
        <v>6.8405011852353537E-2</v>
      </c>
      <c r="F11" s="190">
        <f t="shared" si="1"/>
        <v>0.93159498814764641</v>
      </c>
      <c r="G11" s="190">
        <f>D11/$D$15</f>
        <v>0.37351378699721732</v>
      </c>
    </row>
    <row r="12" spans="1:7" x14ac:dyDescent="0.25">
      <c r="A12" s="439" t="s">
        <v>2</v>
      </c>
      <c r="B12" s="187">
        <f>GETPIVOTDATA("Sum of Female",'h8'!$A$4,"Type","Control")</f>
        <v>172</v>
      </c>
      <c r="C12" s="187">
        <f>GETPIVOTDATA("Sum of Male",'h8'!$A$4,"Type","Control")</f>
        <v>35</v>
      </c>
      <c r="D12" s="189">
        <f>B12+C12</f>
        <v>207</v>
      </c>
      <c r="E12" s="736">
        <f t="shared" si="0"/>
        <v>0.83091787439613529</v>
      </c>
      <c r="F12" s="190">
        <f t="shared" si="1"/>
        <v>0.16908212560386474</v>
      </c>
      <c r="G12" s="190">
        <f>D12/$D$15</f>
        <v>2.6182646091576018E-2</v>
      </c>
    </row>
    <row r="13" spans="1:7" x14ac:dyDescent="0.25">
      <c r="A13" s="439" t="s">
        <v>93</v>
      </c>
      <c r="B13" s="187">
        <f>GETPIVOTDATA("Sum of Female",'h8'!$A$4,"Type","Support")</f>
        <v>427</v>
      </c>
      <c r="C13" s="187">
        <f>GETPIVOTDATA("Sum of Male",'h8'!$A$4,"Type","Support")</f>
        <v>365</v>
      </c>
      <c r="D13" s="189">
        <f>B13+C13</f>
        <v>792</v>
      </c>
      <c r="E13" s="736">
        <f t="shared" si="0"/>
        <v>0.53914141414141414</v>
      </c>
      <c r="F13" s="190">
        <f t="shared" si="1"/>
        <v>0.46085858585858586</v>
      </c>
      <c r="G13" s="190">
        <f>D13/$D$15</f>
        <v>0.1001770806982039</v>
      </c>
    </row>
    <row r="14" spans="1:7" x14ac:dyDescent="0.25">
      <c r="A14" s="439" t="s">
        <v>29</v>
      </c>
      <c r="B14" s="188">
        <f>GETPIVOTDATA("Sum of Female",'h8'!$A$4,"Type","Vol")</f>
        <v>54</v>
      </c>
      <c r="C14" s="188">
        <f>GETPIVOTDATA("Sum of Male",'h8'!$A$4,"Type","Vol")</f>
        <v>263</v>
      </c>
      <c r="D14" s="189">
        <f>B14+C14</f>
        <v>317</v>
      </c>
      <c r="E14" s="736">
        <f t="shared" si="0"/>
        <v>0.17034700315457413</v>
      </c>
      <c r="F14" s="190">
        <f t="shared" si="1"/>
        <v>0.82965299684542582</v>
      </c>
      <c r="G14" s="190">
        <f>D14/$D$15</f>
        <v>4.0096129521882115E-2</v>
      </c>
    </row>
    <row r="15" spans="1:7" ht="15.75" thickBot="1" x14ac:dyDescent="0.3">
      <c r="A15" s="191" t="s">
        <v>104</v>
      </c>
      <c r="B15" s="192">
        <f>SUM(B10:B14)</f>
        <v>1051</v>
      </c>
      <c r="C15" s="192">
        <f>SUM(C10:C14)</f>
        <v>6855</v>
      </c>
      <c r="D15" s="192">
        <f>C15+B15</f>
        <v>7906</v>
      </c>
      <c r="E15" s="737">
        <f t="shared" si="0"/>
        <v>0.1329370098659246</v>
      </c>
      <c r="F15" s="193">
        <f t="shared" si="1"/>
        <v>0.8670629901340754</v>
      </c>
      <c r="G15" s="193">
        <f t="shared" ref="G15" si="2">D15/$D$15</f>
        <v>1</v>
      </c>
    </row>
    <row r="16" spans="1:7" x14ac:dyDescent="0.25">
      <c r="A16" s="31"/>
      <c r="B16" s="31"/>
      <c r="C16" s="31"/>
      <c r="D16" s="31"/>
      <c r="E16" s="31"/>
      <c r="F16" s="31"/>
      <c r="G16" s="31"/>
    </row>
    <row r="17" spans="1:7" x14ac:dyDescent="0.25">
      <c r="A17" s="485"/>
      <c r="B17" s="31"/>
      <c r="C17" s="31"/>
      <c r="D17" s="31"/>
      <c r="E17" s="31"/>
      <c r="F17" s="31"/>
      <c r="G17" s="31"/>
    </row>
  </sheetData>
  <sheetProtection algorithmName="SHA-512" hashValue="5mgCjHy+G+gAJspShwpkjy942N1uP+VQE2gFs8Gd6FCFvfUIq/xlWB1WybLoqbHD9wLXbpPBaNx4n0v/U00wbA==" saltValue="rfPh1j7SZUkrqj8ZCc5oUA==" spinCount="100000" sheet="1" scenarios="1" pivotTables="0"/>
  <mergeCells count="2">
    <mergeCell ref="A4:G4"/>
    <mergeCell ref="A1:C1"/>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90" orientation="portrait" r:id="rId1"/>
  <drawing r:id="rId2"/>
  <extLst>
    <ext xmlns:x14="http://schemas.microsoft.com/office/spreadsheetml/2009/9/main" uri="{A8765BA9-456A-4dab-B4F3-ACF838C121DE}">
      <x14:slicerList>
        <x14:slicer r:id="rId3"/>
      </x14:slicerList>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39997558519241921"/>
  </sheetPr>
  <dimension ref="A2:E36"/>
  <sheetViews>
    <sheetView workbookViewId="0">
      <selection activeCell="D22" sqref="D22"/>
    </sheetView>
  </sheetViews>
  <sheetFormatPr defaultRowHeight="15" x14ac:dyDescent="0.25"/>
  <cols>
    <col min="1" max="1" width="25.5703125" customWidth="1"/>
    <col min="2" max="2" width="22" customWidth="1"/>
    <col min="3" max="3" width="20.7109375" customWidth="1"/>
    <col min="4" max="4" width="17.28515625" customWidth="1"/>
    <col min="5" max="5" width="12" customWidth="1"/>
    <col min="6" max="6" width="16" customWidth="1"/>
    <col min="7" max="7" width="12.5703125" customWidth="1"/>
    <col min="8" max="8" width="17.140625" customWidth="1"/>
  </cols>
  <sheetData>
    <row r="2" spans="1:5" x14ac:dyDescent="0.25">
      <c r="A2" s="569" t="s">
        <v>274</v>
      </c>
      <c r="B2" t="s">
        <v>258</v>
      </c>
    </row>
    <row r="4" spans="1:5" x14ac:dyDescent="0.25">
      <c r="A4" s="569" t="s">
        <v>250</v>
      </c>
      <c r="B4" t="s">
        <v>260</v>
      </c>
      <c r="C4" t="s">
        <v>272</v>
      </c>
      <c r="D4" t="s">
        <v>273</v>
      </c>
      <c r="E4" t="s">
        <v>256</v>
      </c>
    </row>
    <row r="5" spans="1:5" x14ac:dyDescent="0.25">
      <c r="A5" s="988" t="s">
        <v>251</v>
      </c>
      <c r="B5" s="571">
        <v>536</v>
      </c>
      <c r="C5" s="571">
        <v>957</v>
      </c>
      <c r="D5" s="571">
        <v>3728</v>
      </c>
      <c r="E5" s="571">
        <v>5223</v>
      </c>
    </row>
    <row r="6" spans="1:5" x14ac:dyDescent="0.25">
      <c r="A6" s="573" t="s">
        <v>31</v>
      </c>
      <c r="B6" s="571">
        <v>1</v>
      </c>
      <c r="C6" s="571">
        <v>2</v>
      </c>
      <c r="D6" s="571">
        <v>3</v>
      </c>
      <c r="E6" s="571">
        <v>7</v>
      </c>
    </row>
    <row r="7" spans="1:5" x14ac:dyDescent="0.25">
      <c r="A7" s="573" t="s">
        <v>32</v>
      </c>
      <c r="B7" s="571">
        <v>24</v>
      </c>
      <c r="C7" s="571">
        <v>62</v>
      </c>
      <c r="D7" s="571">
        <v>170</v>
      </c>
      <c r="E7" s="571">
        <v>256</v>
      </c>
    </row>
    <row r="8" spans="1:5" x14ac:dyDescent="0.25">
      <c r="A8" s="573" t="s">
        <v>286</v>
      </c>
      <c r="B8" s="571">
        <v>268</v>
      </c>
      <c r="C8" s="571">
        <v>479</v>
      </c>
      <c r="D8" s="571">
        <v>1864</v>
      </c>
      <c r="E8" s="571">
        <v>2611</v>
      </c>
    </row>
    <row r="9" spans="1:5" x14ac:dyDescent="0.25">
      <c r="A9" s="573" t="s">
        <v>33</v>
      </c>
      <c r="B9" s="571">
        <v>6</v>
      </c>
      <c r="C9" s="571">
        <v>12</v>
      </c>
      <c r="D9" s="571">
        <v>66</v>
      </c>
      <c r="E9" s="571">
        <v>84</v>
      </c>
    </row>
    <row r="10" spans="1:5" x14ac:dyDescent="0.25">
      <c r="A10" s="573" t="s">
        <v>34</v>
      </c>
      <c r="B10" s="571">
        <v>14</v>
      </c>
      <c r="C10" s="571">
        <v>23</v>
      </c>
      <c r="D10" s="571">
        <v>128</v>
      </c>
      <c r="E10" s="571">
        <v>165</v>
      </c>
    </row>
    <row r="11" spans="1:5" x14ac:dyDescent="0.25">
      <c r="A11" s="573" t="s">
        <v>262</v>
      </c>
      <c r="B11" s="571"/>
      <c r="C11" s="571">
        <v>1</v>
      </c>
      <c r="D11" s="571">
        <v>4</v>
      </c>
      <c r="E11" s="571">
        <v>6</v>
      </c>
    </row>
    <row r="12" spans="1:5" x14ac:dyDescent="0.25">
      <c r="A12" s="573" t="s">
        <v>35</v>
      </c>
      <c r="B12" s="571">
        <v>1</v>
      </c>
      <c r="C12" s="571">
        <v>3</v>
      </c>
      <c r="D12" s="571">
        <v>11</v>
      </c>
      <c r="E12" s="571">
        <v>15</v>
      </c>
    </row>
    <row r="13" spans="1:5" x14ac:dyDescent="0.25">
      <c r="A13" s="573" t="s">
        <v>36</v>
      </c>
      <c r="B13" s="571">
        <v>16</v>
      </c>
      <c r="C13" s="571">
        <v>31</v>
      </c>
      <c r="D13" s="571">
        <v>127</v>
      </c>
      <c r="E13" s="571">
        <v>174</v>
      </c>
    </row>
    <row r="14" spans="1:5" x14ac:dyDescent="0.25">
      <c r="A14" s="573" t="s">
        <v>37</v>
      </c>
      <c r="B14" s="571">
        <v>1</v>
      </c>
      <c r="C14" s="571">
        <v>2</v>
      </c>
      <c r="D14" s="571">
        <v>8</v>
      </c>
      <c r="E14" s="571">
        <v>10</v>
      </c>
    </row>
    <row r="15" spans="1:5" x14ac:dyDescent="0.25">
      <c r="A15" s="573" t="s">
        <v>38</v>
      </c>
      <c r="B15" s="571">
        <v>4</v>
      </c>
      <c r="C15" s="571">
        <v>8</v>
      </c>
      <c r="D15" s="571">
        <v>49</v>
      </c>
      <c r="E15" s="571">
        <v>62</v>
      </c>
    </row>
    <row r="16" spans="1:5" x14ac:dyDescent="0.25">
      <c r="A16" s="573" t="s">
        <v>40</v>
      </c>
      <c r="B16" s="571">
        <v>5</v>
      </c>
      <c r="C16" s="571">
        <v>10</v>
      </c>
      <c r="D16" s="571">
        <v>36</v>
      </c>
      <c r="E16" s="571">
        <v>52</v>
      </c>
    </row>
    <row r="17" spans="1:5" x14ac:dyDescent="0.25">
      <c r="A17" s="573" t="s">
        <v>42</v>
      </c>
      <c r="B17" s="571">
        <v>4</v>
      </c>
      <c r="C17" s="571">
        <v>8</v>
      </c>
      <c r="D17" s="571">
        <v>29</v>
      </c>
      <c r="E17" s="571">
        <v>41</v>
      </c>
    </row>
    <row r="18" spans="1:5" x14ac:dyDescent="0.25">
      <c r="A18" s="573" t="s">
        <v>43</v>
      </c>
      <c r="B18" s="571">
        <v>10</v>
      </c>
      <c r="C18" s="571">
        <v>18</v>
      </c>
      <c r="D18" s="571">
        <v>75</v>
      </c>
      <c r="E18" s="571">
        <v>102</v>
      </c>
    </row>
    <row r="19" spans="1:5" x14ac:dyDescent="0.25">
      <c r="A19" s="573" t="s">
        <v>44</v>
      </c>
      <c r="B19" s="571">
        <v>66</v>
      </c>
      <c r="C19" s="571">
        <v>96</v>
      </c>
      <c r="D19" s="571">
        <v>353</v>
      </c>
      <c r="E19" s="571">
        <v>516</v>
      </c>
    </row>
    <row r="20" spans="1:5" x14ac:dyDescent="0.25">
      <c r="A20" s="573" t="s">
        <v>45</v>
      </c>
      <c r="B20" s="571">
        <v>3</v>
      </c>
      <c r="C20" s="571">
        <v>5</v>
      </c>
      <c r="D20" s="571">
        <v>29</v>
      </c>
      <c r="E20" s="571">
        <v>36</v>
      </c>
    </row>
    <row r="21" spans="1:5" x14ac:dyDescent="0.25">
      <c r="A21" s="573" t="s">
        <v>46</v>
      </c>
      <c r="B21" s="571">
        <v>1</v>
      </c>
      <c r="C21" s="571">
        <v>2</v>
      </c>
      <c r="D21" s="571">
        <v>8</v>
      </c>
      <c r="E21" s="571">
        <v>11</v>
      </c>
    </row>
    <row r="22" spans="1:5" x14ac:dyDescent="0.25">
      <c r="A22" s="573" t="s">
        <v>47</v>
      </c>
      <c r="B22" s="571">
        <v>11</v>
      </c>
      <c r="C22" s="571">
        <v>24</v>
      </c>
      <c r="D22" s="571">
        <v>75</v>
      </c>
      <c r="E22" s="571">
        <v>110</v>
      </c>
    </row>
    <row r="23" spans="1:5" x14ac:dyDescent="0.25">
      <c r="A23" s="573" t="s">
        <v>48</v>
      </c>
      <c r="B23" s="571">
        <v>14</v>
      </c>
      <c r="C23" s="571">
        <v>24</v>
      </c>
      <c r="D23" s="571">
        <v>90</v>
      </c>
      <c r="E23" s="571">
        <v>128</v>
      </c>
    </row>
    <row r="24" spans="1:5" x14ac:dyDescent="0.25">
      <c r="A24" s="573" t="s">
        <v>49</v>
      </c>
      <c r="B24" s="571">
        <v>12</v>
      </c>
      <c r="C24" s="571">
        <v>10</v>
      </c>
      <c r="D24" s="571">
        <v>70</v>
      </c>
      <c r="E24" s="571">
        <v>92</v>
      </c>
    </row>
    <row r="25" spans="1:5" x14ac:dyDescent="0.25">
      <c r="A25" s="573" t="s">
        <v>50</v>
      </c>
      <c r="B25" s="571">
        <v>2</v>
      </c>
      <c r="C25" s="571">
        <v>5</v>
      </c>
      <c r="D25" s="571">
        <v>18</v>
      </c>
      <c r="E25" s="571">
        <v>26</v>
      </c>
    </row>
    <row r="26" spans="1:5" x14ac:dyDescent="0.25">
      <c r="A26" s="573" t="s">
        <v>51</v>
      </c>
      <c r="B26" s="571">
        <v>10</v>
      </c>
      <c r="C26" s="571">
        <v>23</v>
      </c>
      <c r="D26" s="571">
        <v>75</v>
      </c>
      <c r="E26" s="571">
        <v>108</v>
      </c>
    </row>
    <row r="27" spans="1:5" x14ac:dyDescent="0.25">
      <c r="A27" s="573" t="s">
        <v>52</v>
      </c>
      <c r="B27" s="571">
        <v>10</v>
      </c>
      <c r="C27" s="571">
        <v>20</v>
      </c>
      <c r="D27" s="571">
        <v>82</v>
      </c>
      <c r="E27" s="571">
        <v>113</v>
      </c>
    </row>
    <row r="28" spans="1:5" x14ac:dyDescent="0.25">
      <c r="A28" s="573" t="s">
        <v>53</v>
      </c>
      <c r="B28" s="571">
        <v>1</v>
      </c>
      <c r="C28" s="571">
        <v>2</v>
      </c>
      <c r="D28" s="571">
        <v>10</v>
      </c>
      <c r="E28" s="571">
        <v>12</v>
      </c>
    </row>
    <row r="29" spans="1:5" x14ac:dyDescent="0.25">
      <c r="A29" s="573" t="s">
        <v>54</v>
      </c>
      <c r="B29" s="571">
        <v>12</v>
      </c>
      <c r="C29" s="571">
        <v>25</v>
      </c>
      <c r="D29" s="571">
        <v>82</v>
      </c>
      <c r="E29" s="571">
        <v>119</v>
      </c>
    </row>
    <row r="30" spans="1:5" x14ac:dyDescent="0.25">
      <c r="A30" s="573" t="s">
        <v>55</v>
      </c>
      <c r="B30" s="571">
        <v>13</v>
      </c>
      <c r="C30" s="571">
        <v>24</v>
      </c>
      <c r="D30" s="571">
        <v>83</v>
      </c>
      <c r="E30" s="571">
        <v>119</v>
      </c>
    </row>
    <row r="31" spans="1:5" x14ac:dyDescent="0.25">
      <c r="A31" s="573" t="s">
        <v>56</v>
      </c>
      <c r="B31" s="571">
        <v>5</v>
      </c>
      <c r="C31" s="571">
        <v>6</v>
      </c>
      <c r="D31" s="571">
        <v>40</v>
      </c>
      <c r="E31" s="571">
        <v>51</v>
      </c>
    </row>
    <row r="32" spans="1:5" x14ac:dyDescent="0.25">
      <c r="A32" s="573" t="s">
        <v>57</v>
      </c>
      <c r="B32" s="571">
        <v>8</v>
      </c>
      <c r="C32" s="571">
        <v>7</v>
      </c>
      <c r="D32" s="571">
        <v>51</v>
      </c>
      <c r="E32" s="571">
        <v>66</v>
      </c>
    </row>
    <row r="33" spans="1:5" x14ac:dyDescent="0.25">
      <c r="A33" s="573" t="s">
        <v>58</v>
      </c>
      <c r="B33" s="571">
        <v>8</v>
      </c>
      <c r="C33" s="571">
        <v>14</v>
      </c>
      <c r="D33" s="571">
        <v>45</v>
      </c>
      <c r="E33" s="571">
        <v>68</v>
      </c>
    </row>
    <row r="34" spans="1:5" x14ac:dyDescent="0.25">
      <c r="A34" s="573" t="s">
        <v>59</v>
      </c>
      <c r="B34" s="571">
        <v>2</v>
      </c>
      <c r="C34" s="571">
        <v>2</v>
      </c>
      <c r="D34" s="571">
        <v>14</v>
      </c>
      <c r="E34" s="571">
        <v>18</v>
      </c>
    </row>
    <row r="35" spans="1:5" x14ac:dyDescent="0.25">
      <c r="A35" s="573" t="s">
        <v>60</v>
      </c>
      <c r="B35" s="571">
        <v>4</v>
      </c>
      <c r="C35" s="571">
        <v>9</v>
      </c>
      <c r="D35" s="571">
        <v>33</v>
      </c>
      <c r="E35" s="571">
        <v>45</v>
      </c>
    </row>
    <row r="36" spans="1:5" x14ac:dyDescent="0.25">
      <c r="A36" s="988" t="s">
        <v>255</v>
      </c>
      <c r="B36" s="571">
        <v>536</v>
      </c>
      <c r="C36" s="571">
        <v>957</v>
      </c>
      <c r="D36" s="571">
        <v>3728</v>
      </c>
      <c r="E36" s="571">
        <v>5223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39997558519241921"/>
  </sheetPr>
  <dimension ref="A1:I40"/>
  <sheetViews>
    <sheetView workbookViewId="0">
      <selection activeCell="E24" sqref="E24"/>
    </sheetView>
  </sheetViews>
  <sheetFormatPr defaultRowHeight="15" x14ac:dyDescent="0.25"/>
  <cols>
    <col min="1" max="1" width="13.140625" customWidth="1"/>
    <col min="2" max="2" width="14.85546875" customWidth="1"/>
    <col min="3" max="3" width="22.7109375" customWidth="1"/>
    <col min="4" max="4" width="19.140625" customWidth="1"/>
    <col min="5" max="5" width="18.85546875" customWidth="1"/>
    <col min="6" max="6" width="25.140625" customWidth="1"/>
    <col min="7" max="7" width="19.42578125" customWidth="1"/>
    <col min="8" max="8" width="21.140625" customWidth="1"/>
    <col min="9" max="9" width="12" bestFit="1" customWidth="1"/>
  </cols>
  <sheetData>
    <row r="1" spans="1:8" x14ac:dyDescent="0.25">
      <c r="A1" s="569" t="s">
        <v>274</v>
      </c>
      <c r="B1" t="s">
        <v>258</v>
      </c>
    </row>
    <row r="3" spans="1:8" x14ac:dyDescent="0.25">
      <c r="A3" s="569" t="s">
        <v>250</v>
      </c>
      <c r="B3" t="s">
        <v>269</v>
      </c>
      <c r="C3" t="s">
        <v>270</v>
      </c>
      <c r="D3" t="s">
        <v>271</v>
      </c>
      <c r="E3" t="s">
        <v>260</v>
      </c>
      <c r="F3" t="s">
        <v>272</v>
      </c>
      <c r="G3" t="s">
        <v>277</v>
      </c>
      <c r="H3" t="s">
        <v>256</v>
      </c>
    </row>
    <row r="4" spans="1:8" x14ac:dyDescent="0.25">
      <c r="A4" s="988" t="s">
        <v>254</v>
      </c>
      <c r="B4" s="571">
        <v>1</v>
      </c>
      <c r="C4" s="571">
        <v>4</v>
      </c>
      <c r="D4" s="571">
        <v>9</v>
      </c>
      <c r="E4" s="571">
        <v>42</v>
      </c>
      <c r="F4" s="571">
        <v>27</v>
      </c>
      <c r="G4" s="571">
        <v>119</v>
      </c>
      <c r="H4" s="571">
        <v>202</v>
      </c>
    </row>
    <row r="5" spans="1:8" x14ac:dyDescent="0.25">
      <c r="A5" s="573" t="s">
        <v>263</v>
      </c>
      <c r="B5" s="571">
        <v>1</v>
      </c>
      <c r="C5" s="571">
        <v>4</v>
      </c>
      <c r="D5" s="571">
        <v>9</v>
      </c>
      <c r="E5" s="571">
        <v>42</v>
      </c>
      <c r="F5" s="571">
        <v>27</v>
      </c>
      <c r="G5" s="571">
        <v>119</v>
      </c>
      <c r="H5" s="571">
        <v>202</v>
      </c>
    </row>
    <row r="6" spans="1:8" x14ac:dyDescent="0.25">
      <c r="A6" s="988" t="s">
        <v>255</v>
      </c>
      <c r="B6" s="571">
        <v>1</v>
      </c>
      <c r="C6" s="571">
        <v>4</v>
      </c>
      <c r="D6" s="571">
        <v>9</v>
      </c>
      <c r="E6" s="571">
        <v>42</v>
      </c>
      <c r="F6" s="571">
        <v>27</v>
      </c>
      <c r="G6" s="571">
        <v>119</v>
      </c>
      <c r="H6" s="571">
        <v>202</v>
      </c>
    </row>
    <row r="7" spans="1:8" x14ac:dyDescent="0.25">
      <c r="D7" s="571"/>
      <c r="E7" s="571"/>
    </row>
    <row r="28" spans="1:9" x14ac:dyDescent="0.25">
      <c r="A28" s="569" t="s">
        <v>274</v>
      </c>
      <c r="B28" t="s">
        <v>258</v>
      </c>
    </row>
    <row r="30" spans="1:9" x14ac:dyDescent="0.25">
      <c r="A30" s="569" t="s">
        <v>250</v>
      </c>
      <c r="B30" t="s">
        <v>279</v>
      </c>
      <c r="C30" t="s">
        <v>280</v>
      </c>
      <c r="D30" t="s">
        <v>281</v>
      </c>
      <c r="E30" t="s">
        <v>282</v>
      </c>
      <c r="F30" t="s">
        <v>283</v>
      </c>
      <c r="G30" t="s">
        <v>284</v>
      </c>
      <c r="H30" t="s">
        <v>285</v>
      </c>
      <c r="I30" t="s">
        <v>256</v>
      </c>
    </row>
    <row r="31" spans="1:9" x14ac:dyDescent="0.25">
      <c r="A31" s="988" t="s">
        <v>253</v>
      </c>
      <c r="B31" s="571"/>
      <c r="C31" s="571">
        <v>14</v>
      </c>
      <c r="D31" s="571">
        <v>44</v>
      </c>
      <c r="E31" s="571">
        <v>69</v>
      </c>
      <c r="F31" s="571">
        <v>500</v>
      </c>
      <c r="G31" s="571">
        <v>115</v>
      </c>
      <c r="H31" s="571">
        <v>166</v>
      </c>
      <c r="I31" s="571">
        <v>910</v>
      </c>
    </row>
    <row r="32" spans="1:9" x14ac:dyDescent="0.25">
      <c r="A32" s="573" t="s">
        <v>286</v>
      </c>
      <c r="B32" s="571"/>
      <c r="C32" s="571">
        <v>7</v>
      </c>
      <c r="D32" s="571">
        <v>22</v>
      </c>
      <c r="E32" s="571">
        <v>34</v>
      </c>
      <c r="F32" s="571">
        <v>250</v>
      </c>
      <c r="G32" s="571">
        <v>58</v>
      </c>
      <c r="H32" s="571">
        <v>83</v>
      </c>
      <c r="I32" s="571">
        <v>455</v>
      </c>
    </row>
    <row r="33" spans="1:9" x14ac:dyDescent="0.25">
      <c r="A33" s="573" t="s">
        <v>177</v>
      </c>
      <c r="B33" s="571"/>
      <c r="C33" s="571">
        <v>2</v>
      </c>
      <c r="D33" s="571">
        <v>4</v>
      </c>
      <c r="E33" s="571">
        <v>10</v>
      </c>
      <c r="F33" s="571">
        <v>48</v>
      </c>
      <c r="G33" s="571">
        <v>16</v>
      </c>
      <c r="H33" s="571">
        <v>17</v>
      </c>
      <c r="I33" s="571">
        <v>97</v>
      </c>
    </row>
    <row r="34" spans="1:9" x14ac:dyDescent="0.25">
      <c r="A34" s="573" t="s">
        <v>175</v>
      </c>
      <c r="B34" s="571"/>
      <c r="C34" s="571">
        <v>3</v>
      </c>
      <c r="D34" s="571">
        <v>9</v>
      </c>
      <c r="E34" s="571">
        <v>10</v>
      </c>
      <c r="F34" s="571">
        <v>74</v>
      </c>
      <c r="G34" s="571">
        <v>16</v>
      </c>
      <c r="H34" s="571">
        <v>20</v>
      </c>
      <c r="I34" s="571">
        <v>133</v>
      </c>
    </row>
    <row r="35" spans="1:9" x14ac:dyDescent="0.25">
      <c r="A35" s="573" t="s">
        <v>176</v>
      </c>
      <c r="B35" s="571"/>
      <c r="C35" s="571">
        <v>2</v>
      </c>
      <c r="D35" s="571">
        <v>9</v>
      </c>
      <c r="E35" s="571">
        <v>15</v>
      </c>
      <c r="F35" s="571">
        <v>128</v>
      </c>
      <c r="G35" s="571">
        <v>25</v>
      </c>
      <c r="H35" s="571">
        <v>46</v>
      </c>
      <c r="I35" s="571">
        <v>225</v>
      </c>
    </row>
    <row r="36" spans="1:9" x14ac:dyDescent="0.25">
      <c r="A36" s="988" t="s">
        <v>254</v>
      </c>
      <c r="B36" s="571">
        <v>3</v>
      </c>
      <c r="C36" s="571">
        <v>42</v>
      </c>
      <c r="D36" s="571">
        <v>12</v>
      </c>
      <c r="E36" s="571">
        <v>46</v>
      </c>
      <c r="F36" s="571">
        <v>125</v>
      </c>
      <c r="G36" s="571">
        <v>1</v>
      </c>
      <c r="H36" s="571">
        <v>62</v>
      </c>
      <c r="I36" s="571">
        <v>291</v>
      </c>
    </row>
    <row r="37" spans="1:9" x14ac:dyDescent="0.25">
      <c r="A37" s="573" t="s">
        <v>263</v>
      </c>
      <c r="B37" s="571">
        <v>3</v>
      </c>
      <c r="C37" s="571">
        <v>42</v>
      </c>
      <c r="D37" s="571">
        <v>12</v>
      </c>
      <c r="E37" s="571">
        <v>46</v>
      </c>
      <c r="F37" s="571">
        <v>125</v>
      </c>
      <c r="G37" s="571">
        <v>1</v>
      </c>
      <c r="H37" s="571">
        <v>62</v>
      </c>
      <c r="I37" s="571">
        <v>291</v>
      </c>
    </row>
    <row r="38" spans="1:9" x14ac:dyDescent="0.25">
      <c r="A38" s="988" t="s">
        <v>26</v>
      </c>
      <c r="B38" s="571">
        <v>3</v>
      </c>
      <c r="C38" s="571">
        <v>49</v>
      </c>
      <c r="D38" s="571">
        <v>34</v>
      </c>
      <c r="E38" s="571">
        <v>80</v>
      </c>
      <c r="F38" s="571">
        <v>376</v>
      </c>
      <c r="G38" s="571">
        <v>59</v>
      </c>
      <c r="H38" s="571">
        <v>145</v>
      </c>
      <c r="I38" s="571">
        <v>746</v>
      </c>
    </row>
    <row r="39" spans="1:9" x14ac:dyDescent="0.25">
      <c r="A39" s="573" t="s">
        <v>263</v>
      </c>
      <c r="B39" s="571">
        <v>3</v>
      </c>
      <c r="C39" s="571">
        <v>49</v>
      </c>
      <c r="D39" s="571">
        <v>34</v>
      </c>
      <c r="E39" s="571">
        <v>80</v>
      </c>
      <c r="F39" s="571">
        <v>376</v>
      </c>
      <c r="G39" s="571">
        <v>59</v>
      </c>
      <c r="H39" s="571">
        <v>145</v>
      </c>
      <c r="I39" s="571">
        <v>746</v>
      </c>
    </row>
    <row r="40" spans="1:9" x14ac:dyDescent="0.25">
      <c r="A40" s="988" t="s">
        <v>255</v>
      </c>
      <c r="B40" s="571">
        <v>6</v>
      </c>
      <c r="C40" s="571">
        <v>105</v>
      </c>
      <c r="D40" s="571">
        <v>90</v>
      </c>
      <c r="E40" s="571">
        <v>195</v>
      </c>
      <c r="F40" s="571">
        <v>1001</v>
      </c>
      <c r="G40" s="571">
        <v>175</v>
      </c>
      <c r="H40" s="571">
        <v>373</v>
      </c>
      <c r="I40" s="571">
        <v>1947</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9" tint="0.39997558519241921"/>
  </sheetPr>
  <dimension ref="A2:D36"/>
  <sheetViews>
    <sheetView workbookViewId="0">
      <selection activeCell="B7" sqref="B7"/>
    </sheetView>
  </sheetViews>
  <sheetFormatPr defaultRowHeight="15" x14ac:dyDescent="0.25"/>
  <cols>
    <col min="1" max="1" width="22.140625" bestFit="1" customWidth="1"/>
    <col min="2" max="2" width="14.28515625" bestFit="1" customWidth="1"/>
    <col min="3" max="3" width="12.140625" bestFit="1" customWidth="1"/>
    <col min="4" max="4" width="12" bestFit="1" customWidth="1"/>
    <col min="5" max="5" width="16.28515625" bestFit="1" customWidth="1"/>
    <col min="6" max="6" width="11.28515625" bestFit="1" customWidth="1"/>
  </cols>
  <sheetData>
    <row r="2" spans="1:4" x14ac:dyDescent="0.25">
      <c r="A2" s="569" t="s">
        <v>274</v>
      </c>
      <c r="B2" t="s">
        <v>258</v>
      </c>
    </row>
    <row r="4" spans="1:4" x14ac:dyDescent="0.25">
      <c r="A4" s="569" t="s">
        <v>250</v>
      </c>
      <c r="B4" t="s">
        <v>324</v>
      </c>
      <c r="C4" t="s">
        <v>325</v>
      </c>
      <c r="D4" t="s">
        <v>256</v>
      </c>
    </row>
    <row r="5" spans="1:4" x14ac:dyDescent="0.25">
      <c r="A5" s="986" t="s">
        <v>2</v>
      </c>
      <c r="B5" s="571">
        <v>172</v>
      </c>
      <c r="C5" s="571">
        <v>35</v>
      </c>
      <c r="D5" s="571">
        <v>207</v>
      </c>
    </row>
    <row r="6" spans="1:4" x14ac:dyDescent="0.25">
      <c r="A6" s="573" t="s">
        <v>18</v>
      </c>
      <c r="B6" s="571">
        <v>1</v>
      </c>
      <c r="C6" s="571"/>
      <c r="D6" s="571">
        <v>1</v>
      </c>
    </row>
    <row r="7" spans="1:4" x14ac:dyDescent="0.25">
      <c r="A7" s="573" t="s">
        <v>22</v>
      </c>
      <c r="B7" s="571">
        <v>21</v>
      </c>
      <c r="C7" s="571">
        <v>6</v>
      </c>
      <c r="D7" s="571">
        <v>27</v>
      </c>
    </row>
    <row r="8" spans="1:4" x14ac:dyDescent="0.25">
      <c r="A8" s="573" t="s">
        <v>23</v>
      </c>
      <c r="B8" s="571">
        <v>103</v>
      </c>
      <c r="C8" s="571">
        <v>21</v>
      </c>
      <c r="D8" s="571">
        <v>124</v>
      </c>
    </row>
    <row r="9" spans="1:4" x14ac:dyDescent="0.25">
      <c r="A9" s="573" t="s">
        <v>19</v>
      </c>
      <c r="B9" s="571">
        <v>3</v>
      </c>
      <c r="C9" s="571">
        <v>1</v>
      </c>
      <c r="D9" s="571">
        <v>4</v>
      </c>
    </row>
    <row r="10" spans="1:4" x14ac:dyDescent="0.25">
      <c r="A10" s="573" t="s">
        <v>20</v>
      </c>
      <c r="B10" s="571">
        <v>8</v>
      </c>
      <c r="C10" s="571">
        <v>1</v>
      </c>
      <c r="D10" s="571">
        <v>9</v>
      </c>
    </row>
    <row r="11" spans="1:4" x14ac:dyDescent="0.25">
      <c r="A11" s="573" t="s">
        <v>21</v>
      </c>
      <c r="B11" s="571">
        <v>36</v>
      </c>
      <c r="C11" s="571">
        <v>6</v>
      </c>
      <c r="D11" s="571">
        <v>42</v>
      </c>
    </row>
    <row r="12" spans="1:4" x14ac:dyDescent="0.25">
      <c r="A12" s="986" t="s">
        <v>9</v>
      </c>
      <c r="B12" s="571">
        <v>202</v>
      </c>
      <c r="C12" s="571">
        <v>2751</v>
      </c>
      <c r="D12" s="571">
        <v>2953</v>
      </c>
    </row>
    <row r="13" spans="1:4" x14ac:dyDescent="0.25">
      <c r="A13" s="573" t="s">
        <v>22</v>
      </c>
      <c r="B13" s="571">
        <v>20</v>
      </c>
      <c r="C13" s="571">
        <v>513</v>
      </c>
      <c r="D13" s="571">
        <v>533</v>
      </c>
    </row>
    <row r="14" spans="1:4" x14ac:dyDescent="0.25">
      <c r="A14" s="573" t="s">
        <v>23</v>
      </c>
      <c r="B14" s="571">
        <v>168</v>
      </c>
      <c r="C14" s="571">
        <v>1973</v>
      </c>
      <c r="D14" s="571">
        <v>2141</v>
      </c>
    </row>
    <row r="15" spans="1:4" x14ac:dyDescent="0.25">
      <c r="A15" s="573" t="s">
        <v>21</v>
      </c>
      <c r="B15" s="571">
        <v>14</v>
      </c>
      <c r="C15" s="571">
        <v>265</v>
      </c>
      <c r="D15" s="571">
        <v>279</v>
      </c>
    </row>
    <row r="16" spans="1:4" x14ac:dyDescent="0.25">
      <c r="A16" s="986" t="s">
        <v>3</v>
      </c>
      <c r="B16" s="571">
        <v>427</v>
      </c>
      <c r="C16" s="571">
        <v>365</v>
      </c>
      <c r="D16" s="571">
        <v>792</v>
      </c>
    </row>
    <row r="17" spans="1:4" x14ac:dyDescent="0.25">
      <c r="A17" s="573" t="s">
        <v>101</v>
      </c>
      <c r="B17" s="571">
        <v>159</v>
      </c>
      <c r="C17" s="571">
        <v>11</v>
      </c>
      <c r="D17" s="571">
        <v>170</v>
      </c>
    </row>
    <row r="18" spans="1:4" x14ac:dyDescent="0.25">
      <c r="A18" s="573" t="s">
        <v>213</v>
      </c>
      <c r="B18" s="571">
        <v>2</v>
      </c>
      <c r="C18" s="571">
        <v>1</v>
      </c>
      <c r="D18" s="571">
        <v>3</v>
      </c>
    </row>
    <row r="19" spans="1:4" x14ac:dyDescent="0.25">
      <c r="A19" s="573" t="s">
        <v>86</v>
      </c>
      <c r="B19" s="571">
        <v>58</v>
      </c>
      <c r="C19" s="571">
        <v>26</v>
      </c>
      <c r="D19" s="571">
        <v>84</v>
      </c>
    </row>
    <row r="20" spans="1:4" x14ac:dyDescent="0.25">
      <c r="A20" s="573" t="s">
        <v>84</v>
      </c>
      <c r="B20" s="571">
        <v>15</v>
      </c>
      <c r="C20" s="571">
        <v>34</v>
      </c>
      <c r="D20" s="571">
        <v>49</v>
      </c>
    </row>
    <row r="21" spans="1:4" x14ac:dyDescent="0.25">
      <c r="A21" s="573" t="s">
        <v>322</v>
      </c>
      <c r="B21" s="571">
        <v>146</v>
      </c>
      <c r="C21" s="571">
        <v>242</v>
      </c>
      <c r="D21" s="571">
        <v>388</v>
      </c>
    </row>
    <row r="22" spans="1:4" x14ac:dyDescent="0.25">
      <c r="A22" s="573" t="s">
        <v>90</v>
      </c>
      <c r="B22" s="571">
        <v>21</v>
      </c>
      <c r="C22" s="571">
        <v>13</v>
      </c>
      <c r="D22" s="571">
        <v>34</v>
      </c>
    </row>
    <row r="23" spans="1:4" x14ac:dyDescent="0.25">
      <c r="A23" s="573" t="s">
        <v>323</v>
      </c>
      <c r="B23" s="571">
        <v>26</v>
      </c>
      <c r="C23" s="571">
        <v>38</v>
      </c>
      <c r="D23" s="571">
        <v>64</v>
      </c>
    </row>
    <row r="24" spans="1:4" x14ac:dyDescent="0.25">
      <c r="A24" s="986" t="s">
        <v>320</v>
      </c>
      <c r="B24" s="571">
        <v>54</v>
      </c>
      <c r="C24" s="571">
        <v>263</v>
      </c>
      <c r="D24" s="571">
        <v>317</v>
      </c>
    </row>
    <row r="25" spans="1:4" x14ac:dyDescent="0.25">
      <c r="A25" s="573" t="s">
        <v>22</v>
      </c>
      <c r="B25" s="571">
        <v>3</v>
      </c>
      <c r="C25" s="571">
        <v>37</v>
      </c>
      <c r="D25" s="571">
        <v>40</v>
      </c>
    </row>
    <row r="26" spans="1:4" x14ac:dyDescent="0.25">
      <c r="A26" s="573" t="s">
        <v>23</v>
      </c>
      <c r="B26" s="571">
        <v>46</v>
      </c>
      <c r="C26" s="571">
        <v>194</v>
      </c>
      <c r="D26" s="571">
        <v>240</v>
      </c>
    </row>
    <row r="27" spans="1:4" x14ac:dyDescent="0.25">
      <c r="A27" s="573" t="s">
        <v>21</v>
      </c>
      <c r="B27" s="571">
        <v>5</v>
      </c>
      <c r="C27" s="571">
        <v>32</v>
      </c>
      <c r="D27" s="571">
        <v>37</v>
      </c>
    </row>
    <row r="28" spans="1:4" x14ac:dyDescent="0.25">
      <c r="A28" s="986" t="s">
        <v>321</v>
      </c>
      <c r="B28" s="571">
        <v>196</v>
      </c>
      <c r="C28" s="571">
        <v>3441</v>
      </c>
      <c r="D28" s="571">
        <v>3637</v>
      </c>
    </row>
    <row r="29" spans="1:4" x14ac:dyDescent="0.25">
      <c r="A29" s="573" t="s">
        <v>18</v>
      </c>
      <c r="B29" s="571"/>
      <c r="C29" s="571">
        <v>33</v>
      </c>
      <c r="D29" s="571">
        <v>33</v>
      </c>
    </row>
    <row r="30" spans="1:4" x14ac:dyDescent="0.25">
      <c r="A30" s="573" t="s">
        <v>212</v>
      </c>
      <c r="B30" s="571"/>
      <c r="C30" s="571">
        <v>4</v>
      </c>
      <c r="D30" s="571">
        <v>4</v>
      </c>
    </row>
    <row r="31" spans="1:4" x14ac:dyDescent="0.25">
      <c r="A31" s="573" t="s">
        <v>22</v>
      </c>
      <c r="B31" s="571">
        <v>27</v>
      </c>
      <c r="C31" s="571">
        <v>660</v>
      </c>
      <c r="D31" s="571">
        <v>687</v>
      </c>
    </row>
    <row r="32" spans="1:4" x14ac:dyDescent="0.25">
      <c r="A32" s="573" t="s">
        <v>23</v>
      </c>
      <c r="B32" s="571">
        <v>132</v>
      </c>
      <c r="C32" s="571">
        <v>1943</v>
      </c>
      <c r="D32" s="571">
        <v>2075</v>
      </c>
    </row>
    <row r="33" spans="1:4" x14ac:dyDescent="0.25">
      <c r="A33" s="573" t="s">
        <v>19</v>
      </c>
      <c r="B33" s="571">
        <v>2</v>
      </c>
      <c r="C33" s="571">
        <v>78</v>
      </c>
      <c r="D33" s="571">
        <v>80</v>
      </c>
    </row>
    <row r="34" spans="1:4" x14ac:dyDescent="0.25">
      <c r="A34" s="573" t="s">
        <v>20</v>
      </c>
      <c r="B34" s="571">
        <v>2</v>
      </c>
      <c r="C34" s="571">
        <v>145</v>
      </c>
      <c r="D34" s="571">
        <v>147</v>
      </c>
    </row>
    <row r="35" spans="1:4" x14ac:dyDescent="0.25">
      <c r="A35" s="573" t="s">
        <v>21</v>
      </c>
      <c r="B35" s="571">
        <v>33</v>
      </c>
      <c r="C35" s="571">
        <v>578</v>
      </c>
      <c r="D35" s="571">
        <v>611</v>
      </c>
    </row>
    <row r="36" spans="1:4" x14ac:dyDescent="0.25">
      <c r="A36" s="986" t="s">
        <v>255</v>
      </c>
      <c r="B36" s="571">
        <v>1051</v>
      </c>
      <c r="C36" s="571">
        <v>6855</v>
      </c>
      <c r="D36" s="571">
        <v>7906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tint="0.39997558519241921"/>
  </sheetPr>
  <dimension ref="A2:D10"/>
  <sheetViews>
    <sheetView workbookViewId="0">
      <selection activeCell="B7" sqref="B7"/>
    </sheetView>
  </sheetViews>
  <sheetFormatPr defaultRowHeight="15" x14ac:dyDescent="0.25"/>
  <cols>
    <col min="1" max="1" width="13.140625" customWidth="1"/>
    <col min="2" max="2" width="14.28515625" customWidth="1"/>
    <col min="3" max="3" width="12.140625" bestFit="1" customWidth="1"/>
    <col min="4" max="4" width="12" bestFit="1" customWidth="1"/>
  </cols>
  <sheetData>
    <row r="2" spans="1:4" x14ac:dyDescent="0.25">
      <c r="A2" s="569" t="s">
        <v>274</v>
      </c>
      <c r="B2" t="s">
        <v>258</v>
      </c>
    </row>
    <row r="4" spans="1:4" x14ac:dyDescent="0.25">
      <c r="A4" s="569" t="s">
        <v>250</v>
      </c>
      <c r="B4" t="s">
        <v>324</v>
      </c>
      <c r="C4" t="s">
        <v>325</v>
      </c>
      <c r="D4" t="s">
        <v>256</v>
      </c>
    </row>
    <row r="5" spans="1:4" x14ac:dyDescent="0.25">
      <c r="A5" s="986" t="s">
        <v>2</v>
      </c>
      <c r="B5" s="571">
        <v>172</v>
      </c>
      <c r="C5" s="571">
        <v>35</v>
      </c>
      <c r="D5" s="571">
        <v>207</v>
      </c>
    </row>
    <row r="6" spans="1:4" x14ac:dyDescent="0.25">
      <c r="A6" s="986" t="s">
        <v>9</v>
      </c>
      <c r="B6" s="571">
        <v>202</v>
      </c>
      <c r="C6" s="571">
        <v>2751</v>
      </c>
      <c r="D6" s="571">
        <v>2953</v>
      </c>
    </row>
    <row r="7" spans="1:4" x14ac:dyDescent="0.25">
      <c r="A7" s="986" t="s">
        <v>3</v>
      </c>
      <c r="B7" s="571">
        <v>427</v>
      </c>
      <c r="C7" s="571">
        <v>365</v>
      </c>
      <c r="D7" s="571">
        <v>792</v>
      </c>
    </row>
    <row r="8" spans="1:4" x14ac:dyDescent="0.25">
      <c r="A8" s="986" t="s">
        <v>320</v>
      </c>
      <c r="B8" s="571">
        <v>54</v>
      </c>
      <c r="C8" s="571">
        <v>263</v>
      </c>
      <c r="D8" s="571">
        <v>317</v>
      </c>
    </row>
    <row r="9" spans="1:4" x14ac:dyDescent="0.25">
      <c r="A9" s="986" t="s">
        <v>321</v>
      </c>
      <c r="B9" s="571">
        <v>196</v>
      </c>
      <c r="C9" s="571">
        <v>3441</v>
      </c>
      <c r="D9" s="571">
        <v>3637</v>
      </c>
    </row>
    <row r="10" spans="1:4" x14ac:dyDescent="0.25">
      <c r="A10" s="986" t="s">
        <v>255</v>
      </c>
      <c r="B10" s="571">
        <v>1051</v>
      </c>
      <c r="C10" s="571">
        <v>6855</v>
      </c>
      <c r="D10" s="571">
        <v>7906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59999389629810485"/>
  </sheetPr>
  <dimension ref="A1:I17"/>
  <sheetViews>
    <sheetView showGridLines="0" workbookViewId="0">
      <pane ySplit="2" topLeftCell="A3" activePane="bottomLeft" state="frozen"/>
      <selection sqref="A1:C1"/>
      <selection pane="bottomLeft" sqref="A1:C1"/>
    </sheetView>
  </sheetViews>
  <sheetFormatPr defaultRowHeight="15" x14ac:dyDescent="0.25"/>
  <cols>
    <col min="1" max="1" width="17.5703125" customWidth="1"/>
    <col min="2" max="7" width="14" customWidth="1"/>
  </cols>
  <sheetData>
    <row r="1" spans="1:9" ht="15.75" customHeight="1" x14ac:dyDescent="0.25">
      <c r="A1" s="993" t="s">
        <v>611</v>
      </c>
      <c r="B1" s="993"/>
      <c r="C1" s="993"/>
    </row>
    <row r="2" spans="1:9" ht="15.75" x14ac:dyDescent="0.25">
      <c r="A2" s="790" t="s">
        <v>598</v>
      </c>
      <c r="B2" s="792"/>
      <c r="C2" s="792"/>
    </row>
    <row r="3" spans="1:9" ht="15.75" x14ac:dyDescent="0.25">
      <c r="D3" s="243"/>
      <c r="E3" s="243"/>
      <c r="F3" s="243"/>
    </row>
    <row r="4" spans="1:9" ht="15.75" x14ac:dyDescent="0.25">
      <c r="A4" s="994" t="s">
        <v>610</v>
      </c>
      <c r="B4" s="994"/>
      <c r="C4" s="994"/>
      <c r="D4" s="994"/>
      <c r="E4" s="994"/>
      <c r="F4" s="994"/>
    </row>
    <row r="5" spans="1:9" ht="15.75" x14ac:dyDescent="0.25">
      <c r="A5" t="s">
        <v>530</v>
      </c>
      <c r="B5" s="795"/>
      <c r="C5" s="795"/>
      <c r="D5" s="795"/>
      <c r="E5" s="795"/>
      <c r="F5" s="795"/>
    </row>
    <row r="6" spans="1:9" ht="15.75" x14ac:dyDescent="0.25">
      <c r="A6" t="s">
        <v>368</v>
      </c>
      <c r="B6" t="s">
        <v>739</v>
      </c>
      <c r="C6" s="795"/>
      <c r="D6" s="795"/>
      <c r="E6" s="795"/>
      <c r="F6" s="795"/>
    </row>
    <row r="7" spans="1:9" ht="15.75" x14ac:dyDescent="0.25">
      <c r="A7" t="s">
        <v>369</v>
      </c>
      <c r="B7" t="s">
        <v>371</v>
      </c>
      <c r="C7" s="795"/>
      <c r="D7" s="795"/>
      <c r="E7" s="795"/>
      <c r="F7" s="795"/>
    </row>
    <row r="8" spans="1:9" ht="15.75" x14ac:dyDescent="0.25">
      <c r="A8" t="s">
        <v>370</v>
      </c>
      <c r="B8" t="s">
        <v>372</v>
      </c>
      <c r="C8" s="795"/>
      <c r="D8" s="795"/>
      <c r="E8" s="795"/>
      <c r="F8" s="795"/>
    </row>
    <row r="9" spans="1:9" ht="15.75" x14ac:dyDescent="0.25">
      <c r="A9" s="795"/>
      <c r="B9" s="795"/>
      <c r="C9" s="795"/>
      <c r="D9" s="795"/>
      <c r="E9" s="795"/>
      <c r="F9" s="795"/>
    </row>
    <row r="10" spans="1:9" s="697" customFormat="1" ht="30.75" customHeight="1" x14ac:dyDescent="0.25">
      <c r="A10" s="221" t="s">
        <v>1</v>
      </c>
      <c r="B10" s="212" t="str">
        <f>T13cm!$E$4</f>
        <v>Wholetime</v>
      </c>
      <c r="C10" s="212" t="str">
        <f>T13cm!$F$4</f>
        <v>Wholetime and Day</v>
      </c>
      <c r="D10" s="212" t="str">
        <f>T13cm!$G$4</f>
        <v>Wholetime and Retained</v>
      </c>
      <c r="E10" s="811" t="str">
        <f>T13cm!$C$4</f>
        <v>Retained</v>
      </c>
      <c r="F10" s="811" t="str">
        <f>T13cm!$D$4</f>
        <v>Volunteer</v>
      </c>
      <c r="G10" s="212" t="s">
        <v>26</v>
      </c>
    </row>
    <row r="11" spans="1:9" x14ac:dyDescent="0.25">
      <c r="A11" s="224" t="s">
        <v>278</v>
      </c>
      <c r="B11" s="245">
        <f>T13cm!$E$5</f>
        <v>50</v>
      </c>
      <c r="C11" s="245">
        <f>T13cm!$F$5</f>
        <v>1</v>
      </c>
      <c r="D11" s="245">
        <f>T13cm!$G$5</f>
        <v>23</v>
      </c>
      <c r="E11" s="245">
        <f>T13cm!$C$5</f>
        <v>240</v>
      </c>
      <c r="F11" s="246">
        <f>T13cm!$D$5</f>
        <v>42</v>
      </c>
      <c r="G11" s="812">
        <f>T13cm!$B$5</f>
        <v>356</v>
      </c>
    </row>
    <row r="12" spans="1:9" x14ac:dyDescent="0.25">
      <c r="A12" s="224" t="s">
        <v>259</v>
      </c>
      <c r="B12" s="245">
        <f>T13cm!$E$5</f>
        <v>50</v>
      </c>
      <c r="C12" s="245">
        <f>T13cm!$F$5</f>
        <v>1</v>
      </c>
      <c r="D12" s="245">
        <f>T13cm!$G$5</f>
        <v>23</v>
      </c>
      <c r="E12" s="245">
        <f>T13cm!$C$5</f>
        <v>240</v>
      </c>
      <c r="F12" s="246">
        <f>T13cm!$D$5</f>
        <v>42</v>
      </c>
      <c r="G12" s="812">
        <f>T13cm!$B$5</f>
        <v>356</v>
      </c>
    </row>
    <row r="13" spans="1:9" ht="15.75" thickBot="1" x14ac:dyDescent="0.3">
      <c r="A13" s="238" t="str">
        <f>T13cm!$A$5</f>
        <v>2018-19</v>
      </c>
      <c r="B13" s="247">
        <f>T13cm!$E$5</f>
        <v>50</v>
      </c>
      <c r="C13" s="247">
        <f>T13cm!$F$5</f>
        <v>1</v>
      </c>
      <c r="D13" s="247">
        <f>T13cm!$G$5</f>
        <v>23</v>
      </c>
      <c r="E13" s="247">
        <f>T13cm!$C$5</f>
        <v>240</v>
      </c>
      <c r="F13" s="813">
        <f>T13cm!$D$5</f>
        <v>42</v>
      </c>
      <c r="G13" s="814">
        <f>T13cm!$B$5</f>
        <v>356</v>
      </c>
    </row>
    <row r="15" spans="1:9" x14ac:dyDescent="0.25">
      <c r="A15" s="502" t="s">
        <v>8</v>
      </c>
    </row>
    <row r="16" spans="1:9" ht="30" customHeight="1" x14ac:dyDescent="0.25">
      <c r="A16" s="996" t="s">
        <v>824</v>
      </c>
      <c r="B16" s="996"/>
      <c r="C16" s="996"/>
      <c r="D16" s="996"/>
      <c r="E16" s="996"/>
      <c r="F16" s="996"/>
      <c r="G16" s="996"/>
      <c r="H16" s="996"/>
      <c r="I16" s="996"/>
    </row>
    <row r="17" spans="1:9" x14ac:dyDescent="0.25">
      <c r="A17" s="995"/>
      <c r="B17" s="995"/>
      <c r="C17" s="995"/>
      <c r="D17" s="995"/>
      <c r="E17" s="995"/>
      <c r="F17" s="995"/>
      <c r="G17" s="995"/>
      <c r="H17" s="995"/>
      <c r="I17" s="995"/>
    </row>
  </sheetData>
  <sheetProtection algorithmName="SHA-512" hashValue="0rplcVM0utBE1O+ebgql5MsQa6HxbOi0/MIfV8WUd7OqnuZE8tXK7VdeJLrLNYetPlohnIBrJWyxSLaW1H1Q7A==" saltValue="Ors7aAvMXBfeILs4HQ+j9g==" spinCount="100000" sheet="1" objects="1" scenarios="1"/>
  <mergeCells count="4">
    <mergeCell ref="A1:C1"/>
    <mergeCell ref="A4:F4"/>
    <mergeCell ref="A17:I17"/>
    <mergeCell ref="A16:I16"/>
  </mergeCells>
  <hyperlinks>
    <hyperlink ref="A2" location="'Table of Contents'!A1" display="Back to Table of Contents"/>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39997558519241921"/>
    <pageSetUpPr fitToPage="1"/>
  </sheetPr>
  <dimension ref="A1:G58"/>
  <sheetViews>
    <sheetView showGridLines="0" workbookViewId="0">
      <pane ySplit="2" topLeftCell="A3" activePane="bottomLeft" state="frozen"/>
      <selection sqref="A1:C1"/>
      <selection pane="bottomLeft" sqref="A1:C1"/>
    </sheetView>
  </sheetViews>
  <sheetFormatPr defaultRowHeight="15" x14ac:dyDescent="0.25"/>
  <cols>
    <col min="1" max="1" width="36.85546875" customWidth="1"/>
    <col min="2" max="6" width="14" customWidth="1"/>
  </cols>
  <sheetData>
    <row r="1" spans="1:6" ht="15.75" x14ac:dyDescent="0.25">
      <c r="A1" s="993" t="s">
        <v>523</v>
      </c>
      <c r="B1" s="993"/>
      <c r="C1" s="993"/>
    </row>
    <row r="2" spans="1:6" x14ac:dyDescent="0.25">
      <c r="A2" s="790" t="s">
        <v>598</v>
      </c>
    </row>
    <row r="3" spans="1:6" x14ac:dyDescent="0.25">
      <c r="A3" s="31"/>
      <c r="B3" s="31"/>
      <c r="C3" s="31"/>
      <c r="D3" s="31"/>
      <c r="E3" s="31"/>
      <c r="F3" s="31"/>
    </row>
    <row r="4" spans="1:6" ht="15.75" customHeight="1" x14ac:dyDescent="0.25">
      <c r="A4" s="1014" t="s">
        <v>539</v>
      </c>
      <c r="B4" s="1014"/>
      <c r="C4" s="1014"/>
      <c r="D4" s="1014"/>
      <c r="E4" s="1014"/>
      <c r="F4" s="1014"/>
    </row>
    <row r="5" spans="1:6" ht="15" customHeight="1" x14ac:dyDescent="0.25">
      <c r="A5" t="s">
        <v>368</v>
      </c>
      <c r="B5" t="s">
        <v>785</v>
      </c>
      <c r="C5" s="636"/>
      <c r="D5" s="636"/>
      <c r="E5" s="636"/>
      <c r="F5" s="636"/>
    </row>
    <row r="6" spans="1:6" ht="15" customHeight="1" x14ac:dyDescent="0.25">
      <c r="A6" t="s">
        <v>369</v>
      </c>
      <c r="B6" t="s">
        <v>371</v>
      </c>
      <c r="C6" s="636"/>
      <c r="D6" s="636"/>
      <c r="E6" s="636"/>
      <c r="F6" s="636"/>
    </row>
    <row r="7" spans="1:6" ht="15" customHeight="1" x14ac:dyDescent="0.25">
      <c r="A7" t="s">
        <v>370</v>
      </c>
      <c r="B7" t="s">
        <v>372</v>
      </c>
      <c r="C7" s="636"/>
      <c r="D7" s="636"/>
      <c r="E7" s="636"/>
      <c r="F7" s="636"/>
    </row>
    <row r="8" spans="1:6" ht="15.75" x14ac:dyDescent="0.25">
      <c r="A8" s="79"/>
      <c r="B8" s="138"/>
      <c r="C8" s="138"/>
      <c r="D8" s="554" t="s">
        <v>6</v>
      </c>
      <c r="E8" s="138"/>
      <c r="F8" s="139" t="s">
        <v>7</v>
      </c>
    </row>
    <row r="9" spans="1:6" x14ac:dyDescent="0.25">
      <c r="A9" s="725" t="s">
        <v>27</v>
      </c>
      <c r="B9" s="728" t="s">
        <v>95</v>
      </c>
      <c r="C9" s="728" t="s">
        <v>96</v>
      </c>
      <c r="D9" s="728" t="s">
        <v>26</v>
      </c>
      <c r="E9" s="729" t="s">
        <v>95</v>
      </c>
      <c r="F9" s="728" t="s">
        <v>96</v>
      </c>
    </row>
    <row r="10" spans="1:6" x14ac:dyDescent="0.25">
      <c r="A10" s="145" t="s">
        <v>212</v>
      </c>
      <c r="B10" s="147">
        <f>GETPIVOTDATA("Sum of Female",'h7'!$A$4,"Type","WT","PostConv","Brigade Manager")</f>
        <v>0</v>
      </c>
      <c r="C10" s="147">
        <f>GETPIVOTDATA("Sum of Male",'h7'!$A$4,"Type","WT","PostConv","Brigade Manager")</f>
        <v>4</v>
      </c>
      <c r="D10" s="726">
        <f>SUM(B10:C10)</f>
        <v>4</v>
      </c>
      <c r="E10" s="148">
        <f t="shared" ref="E10:E17" si="0">B10/(B10+C10)</f>
        <v>0</v>
      </c>
      <c r="F10" s="148">
        <f t="shared" ref="F10:F17" si="1">C10/(B10+C10)</f>
        <v>1</v>
      </c>
    </row>
    <row r="11" spans="1:6" x14ac:dyDescent="0.25">
      <c r="A11" s="145" t="s">
        <v>18</v>
      </c>
      <c r="B11" s="149">
        <f>GETPIVOTDATA("Sum of Female",'h7'!$A$4,"Type","WT","PostConv","Area Manager")</f>
        <v>0</v>
      </c>
      <c r="C11" s="149">
        <f>GETPIVOTDATA("Sum of Male",'h7'!$A$4,"Type","WT","PostConv","Area Manager")</f>
        <v>33</v>
      </c>
      <c r="D11" s="726">
        <f t="shared" ref="D11:D16" si="2">SUM(B11:C11)</f>
        <v>33</v>
      </c>
      <c r="E11" s="148">
        <f t="shared" si="0"/>
        <v>0</v>
      </c>
      <c r="F11" s="148">
        <f t="shared" si="1"/>
        <v>1</v>
      </c>
    </row>
    <row r="12" spans="1:6" x14ac:dyDescent="0.25">
      <c r="A12" s="145" t="s">
        <v>19</v>
      </c>
      <c r="B12" s="150">
        <f>GETPIVOTDATA("Sum of Female",'h7'!$A$4,"Type","WT","PostConv","Group Manager")</f>
        <v>2</v>
      </c>
      <c r="C12" s="150">
        <f>GETPIVOTDATA("Sum of Male",'h7'!$A$4,"Type","WT","PostConv","Group Manager")</f>
        <v>78</v>
      </c>
      <c r="D12" s="151">
        <f>SUM(B12:C12)</f>
        <v>80</v>
      </c>
      <c r="E12" s="148">
        <f t="shared" si="0"/>
        <v>2.5000000000000001E-2</v>
      </c>
      <c r="F12" s="148">
        <f t="shared" si="1"/>
        <v>0.97499999999999998</v>
      </c>
    </row>
    <row r="13" spans="1:6" x14ac:dyDescent="0.25">
      <c r="A13" s="145" t="s">
        <v>20</v>
      </c>
      <c r="B13" s="150">
        <f>GETPIVOTDATA("Sum of Female",'h7'!$A$4,"Type","WT","PostConv","Station Manager")</f>
        <v>2</v>
      </c>
      <c r="C13" s="150">
        <f>GETPIVOTDATA("Sum of Male",'h7'!$A$4,"Type","WT","PostConv","Station Manager")</f>
        <v>145</v>
      </c>
      <c r="D13" s="151">
        <f t="shared" si="2"/>
        <v>147</v>
      </c>
      <c r="E13" s="148">
        <f t="shared" si="0"/>
        <v>1.3605442176870748E-2</v>
      </c>
      <c r="F13" s="148">
        <f t="shared" si="1"/>
        <v>0.98639455782312924</v>
      </c>
    </row>
    <row r="14" spans="1:6" x14ac:dyDescent="0.25">
      <c r="A14" s="145" t="s">
        <v>21</v>
      </c>
      <c r="B14" s="150">
        <f>GETPIVOTDATA("Sum of Female",'h7'!$A$4,"Type","WT","PostConv","Watch Manager")</f>
        <v>33</v>
      </c>
      <c r="C14" s="150">
        <f>GETPIVOTDATA("Sum of Male",'h7'!$A$4,"Type","WT","PostConv","Watch Manager")</f>
        <v>578</v>
      </c>
      <c r="D14" s="151">
        <f t="shared" si="2"/>
        <v>611</v>
      </c>
      <c r="E14" s="148">
        <f t="shared" si="0"/>
        <v>5.4009819967266774E-2</v>
      </c>
      <c r="F14" s="148">
        <f t="shared" si="1"/>
        <v>0.94599018003273327</v>
      </c>
    </row>
    <row r="15" spans="1:6" x14ac:dyDescent="0.25">
      <c r="A15" s="145" t="s">
        <v>22</v>
      </c>
      <c r="B15" s="150">
        <f>GETPIVOTDATA("Sum of Female",'h7'!$A$4,"Type","WT","PostConv","Crew Manager")</f>
        <v>27</v>
      </c>
      <c r="C15" s="150">
        <f>GETPIVOTDATA("Sum of Male",'h7'!$A$4,"Type","WT","PostConv","Crew Manager")</f>
        <v>660</v>
      </c>
      <c r="D15" s="151">
        <f t="shared" si="2"/>
        <v>687</v>
      </c>
      <c r="E15" s="148">
        <f t="shared" si="0"/>
        <v>3.9301310043668124E-2</v>
      </c>
      <c r="F15" s="148">
        <f t="shared" si="1"/>
        <v>0.9606986899563319</v>
      </c>
    </row>
    <row r="16" spans="1:6" x14ac:dyDescent="0.25">
      <c r="A16" s="145" t="s">
        <v>23</v>
      </c>
      <c r="B16" s="150">
        <f>GETPIVOTDATA("Sum of Female",'h7'!$A$4,"Type","WT","PostConv","Firefighter")</f>
        <v>132</v>
      </c>
      <c r="C16" s="150">
        <f>GETPIVOTDATA("Sum of Male",'h7'!$A$4,"Type","WT","PostConv","Firefighter")</f>
        <v>1943</v>
      </c>
      <c r="D16" s="151">
        <f t="shared" si="2"/>
        <v>2075</v>
      </c>
      <c r="E16" s="148">
        <f t="shared" si="0"/>
        <v>6.36144578313253E-2</v>
      </c>
      <c r="F16" s="148">
        <f t="shared" si="1"/>
        <v>0.93638554216867464</v>
      </c>
    </row>
    <row r="17" spans="1:6" ht="15.75" thickBot="1" x14ac:dyDescent="0.3">
      <c r="A17" s="153" t="s">
        <v>540</v>
      </c>
      <c r="B17" s="154">
        <f>SUM(B10:B16)</f>
        <v>196</v>
      </c>
      <c r="C17" s="154">
        <f>SUM(C10:C16)</f>
        <v>3441</v>
      </c>
      <c r="D17" s="154">
        <f>SUM(B17:C17)</f>
        <v>3637</v>
      </c>
      <c r="E17" s="155">
        <f t="shared" si="0"/>
        <v>5.3890569150398679E-2</v>
      </c>
      <c r="F17" s="155">
        <f t="shared" si="1"/>
        <v>0.94610943084960131</v>
      </c>
    </row>
    <row r="18" spans="1:6" x14ac:dyDescent="0.25">
      <c r="A18" s="146"/>
      <c r="B18" s="156"/>
      <c r="C18" s="156"/>
      <c r="D18" s="151"/>
      <c r="E18" s="158"/>
      <c r="F18" s="158"/>
    </row>
    <row r="19" spans="1:6" x14ac:dyDescent="0.25">
      <c r="A19" s="141" t="s">
        <v>28</v>
      </c>
      <c r="B19" s="159"/>
      <c r="C19" s="168"/>
      <c r="D19" s="151"/>
      <c r="E19" s="424"/>
      <c r="F19" s="424"/>
    </row>
    <row r="20" spans="1:6" x14ac:dyDescent="0.25">
      <c r="A20" s="145" t="s">
        <v>21</v>
      </c>
      <c r="B20" s="163">
        <f>GETPIVOTDATA("Sum of Female",'h7'!$A$4,"Type","RDS","PostConv","Watch Manager")</f>
        <v>14</v>
      </c>
      <c r="C20" s="421">
        <f>GETPIVOTDATA("Sum of Male",'h7'!$A$4,"Type","RDS","PostConv","Watch Manager")</f>
        <v>265</v>
      </c>
      <c r="D20" s="727">
        <f>SUM(B20:C20)</f>
        <v>279</v>
      </c>
      <c r="E20" s="423">
        <f>B20/(B20+C20)</f>
        <v>5.0179211469534052E-2</v>
      </c>
      <c r="F20" s="423">
        <f>C20/(B20+C20)</f>
        <v>0.94982078853046592</v>
      </c>
    </row>
    <row r="21" spans="1:6" x14ac:dyDescent="0.25">
      <c r="A21" s="145" t="s">
        <v>22</v>
      </c>
      <c r="B21" s="163">
        <f>GETPIVOTDATA("Sum of Female",'h7'!$A$4,"Type","RDS","PostConv","Crew Manager")</f>
        <v>20</v>
      </c>
      <c r="C21" s="163">
        <f>GETPIVOTDATA("Sum of Male",'h7'!$A$4,"Type","RDS","PostConv","Crew Manager")</f>
        <v>513</v>
      </c>
      <c r="D21" s="726">
        <f>SUM(B21:C21)</f>
        <v>533</v>
      </c>
      <c r="E21" s="148">
        <f>B21/(B21+C21)</f>
        <v>3.7523452157598502E-2</v>
      </c>
      <c r="F21" s="148">
        <f>C21/(B21+C21)</f>
        <v>0.96247654784240155</v>
      </c>
    </row>
    <row r="22" spans="1:6" x14ac:dyDescent="0.25">
      <c r="A22" s="145" t="s">
        <v>23</v>
      </c>
      <c r="B22" s="163">
        <f>GETPIVOTDATA("Sum of Female",'h7'!$A$4,"Type","RDS","PostConv","Firefighter")</f>
        <v>168</v>
      </c>
      <c r="C22" s="163">
        <f>GETPIVOTDATA("Sum of Male",'h7'!$A$4,"Type","RDS","PostConv","Firefighter")</f>
        <v>1973</v>
      </c>
      <c r="D22" s="726">
        <f>SUM(B22:C22)</f>
        <v>2141</v>
      </c>
      <c r="E22" s="148">
        <f>B22/(B22+C22)</f>
        <v>7.8468005604857546E-2</v>
      </c>
      <c r="F22" s="148">
        <f>C22/(B22+C22)</f>
        <v>0.92153199439514244</v>
      </c>
    </row>
    <row r="23" spans="1:6" ht="15.75" thickBot="1" x14ac:dyDescent="0.3">
      <c r="A23" s="153" t="s">
        <v>97</v>
      </c>
      <c r="B23" s="154">
        <f>SUM(B20:B22)</f>
        <v>202</v>
      </c>
      <c r="C23" s="154">
        <f>SUM(C20:C22)</f>
        <v>2751</v>
      </c>
      <c r="D23" s="154">
        <f>SUM(B23:C23)</f>
        <v>2953</v>
      </c>
      <c r="E23" s="155">
        <f>B23/(B23+C23)</f>
        <v>6.8405011852353537E-2</v>
      </c>
      <c r="F23" s="155">
        <f>C23/(B23+C23)</f>
        <v>0.93159498814764641</v>
      </c>
    </row>
    <row r="24" spans="1:6" x14ac:dyDescent="0.25">
      <c r="A24" s="146"/>
      <c r="B24" s="156"/>
      <c r="C24" s="156"/>
      <c r="D24" s="151"/>
      <c r="E24" s="158"/>
      <c r="F24" s="158"/>
    </row>
    <row r="25" spans="1:6" x14ac:dyDescent="0.25">
      <c r="A25" s="141" t="s">
        <v>98</v>
      </c>
      <c r="B25" s="159"/>
      <c r="C25" s="159"/>
      <c r="D25" s="159"/>
      <c r="E25" s="159"/>
      <c r="F25" s="159"/>
    </row>
    <row r="26" spans="1:6" x14ac:dyDescent="0.25">
      <c r="A26" s="145" t="s">
        <v>18</v>
      </c>
      <c r="B26" s="149">
        <f>IFERROR(GETPIVOTDATA("Sum of Female",'h7'!$A$4,"Type","Control","PostConv","Area Manager"),0)</f>
        <v>1</v>
      </c>
      <c r="C26" s="149">
        <f>IFERROR(GETPIVOTDATA("Sum of Male",'h7'!$A$4,"Type","Control","PostConv","Area Manager"),0)</f>
        <v>0</v>
      </c>
      <c r="D26" s="726">
        <f t="shared" ref="D26:D32" si="3">SUM(B26:C26)</f>
        <v>1</v>
      </c>
      <c r="E26" s="148">
        <f>IFERROR(B26/(B26+C26),0)</f>
        <v>1</v>
      </c>
      <c r="F26" s="148">
        <f>IFERROR(C26/(B26+C26),0)</f>
        <v>0</v>
      </c>
    </row>
    <row r="27" spans="1:6" x14ac:dyDescent="0.25">
      <c r="A27" s="145" t="s">
        <v>19</v>
      </c>
      <c r="B27" s="163">
        <f>GETPIVOTDATA("Sum of Female",'h7'!$A$4,"Type","Control","PostConv","Group Manager")</f>
        <v>3</v>
      </c>
      <c r="C27" s="163">
        <f>GETPIVOTDATA("Sum of Male",'h7'!$A$4,"Type","Control","PostConv","Group Manager")</f>
        <v>1</v>
      </c>
      <c r="D27" s="726">
        <f t="shared" si="3"/>
        <v>4</v>
      </c>
      <c r="E27" s="148">
        <f t="shared" ref="E27:E32" si="4">B27/(B27+C27)</f>
        <v>0.75</v>
      </c>
      <c r="F27" s="148">
        <f t="shared" ref="F27:F32" si="5">C27/(B27+C27)</f>
        <v>0.25</v>
      </c>
    </row>
    <row r="28" spans="1:6" x14ac:dyDescent="0.25">
      <c r="A28" s="145" t="s">
        <v>20</v>
      </c>
      <c r="B28" s="163">
        <f>GETPIVOTDATA("Sum of Female",'h7'!$A$4,"Type","Control","PostConv","Station Manager")</f>
        <v>8</v>
      </c>
      <c r="C28" s="163">
        <f>GETPIVOTDATA("Sum of Male",'h7'!$A$4,"Type","Control","PostConv","Station Manager")</f>
        <v>1</v>
      </c>
      <c r="D28" s="726">
        <f t="shared" si="3"/>
        <v>9</v>
      </c>
      <c r="E28" s="148">
        <f t="shared" si="4"/>
        <v>0.88888888888888884</v>
      </c>
      <c r="F28" s="148">
        <f t="shared" si="5"/>
        <v>0.1111111111111111</v>
      </c>
    </row>
    <row r="29" spans="1:6" x14ac:dyDescent="0.25">
      <c r="A29" s="145" t="s">
        <v>21</v>
      </c>
      <c r="B29" s="163">
        <f>GETPIVOTDATA("Sum of Female",'h7'!$A$4,"Type","Control","PostConv","Watch Manager")</f>
        <v>36</v>
      </c>
      <c r="C29" s="163">
        <f>GETPIVOTDATA("Sum of Male",'h7'!$A$4,"Type","Control","PostConv","Watch Manager")</f>
        <v>6</v>
      </c>
      <c r="D29" s="726">
        <f t="shared" si="3"/>
        <v>42</v>
      </c>
      <c r="E29" s="148">
        <f t="shared" si="4"/>
        <v>0.8571428571428571</v>
      </c>
      <c r="F29" s="148">
        <f t="shared" si="5"/>
        <v>0.14285714285714285</v>
      </c>
    </row>
    <row r="30" spans="1:6" x14ac:dyDescent="0.25">
      <c r="A30" s="145" t="s">
        <v>22</v>
      </c>
      <c r="B30" s="163">
        <f>GETPIVOTDATA("Sum of Female",'h7'!$A$4,"Type","Control","PostConv","Crew Manager")</f>
        <v>21</v>
      </c>
      <c r="C30" s="163">
        <f>GETPIVOTDATA("Sum of Male",'h7'!$A$4,"Type","Control","PostConv","Crew Manager")</f>
        <v>6</v>
      </c>
      <c r="D30" s="726">
        <f t="shared" si="3"/>
        <v>27</v>
      </c>
      <c r="E30" s="148">
        <f t="shared" si="4"/>
        <v>0.77777777777777779</v>
      </c>
      <c r="F30" s="148">
        <f t="shared" si="5"/>
        <v>0.22222222222222221</v>
      </c>
    </row>
    <row r="31" spans="1:6" x14ac:dyDescent="0.25">
      <c r="A31" s="145" t="s">
        <v>83</v>
      </c>
      <c r="B31" s="163">
        <f>GETPIVOTDATA("Sum of Female",'h7'!$A$4,"Type","Control","PostConv","Firefighter")</f>
        <v>103</v>
      </c>
      <c r="C31" s="163">
        <f>GETPIVOTDATA("Sum of Male",'h7'!$A$4,"Type","Control","PostConv","Firefighter")</f>
        <v>21</v>
      </c>
      <c r="D31" s="726">
        <f t="shared" si="3"/>
        <v>124</v>
      </c>
      <c r="E31" s="148">
        <f t="shared" si="4"/>
        <v>0.83064516129032262</v>
      </c>
      <c r="F31" s="148">
        <f t="shared" si="5"/>
        <v>0.16935483870967741</v>
      </c>
    </row>
    <row r="32" spans="1:6" ht="15.75" thickBot="1" x14ac:dyDescent="0.3">
      <c r="A32" s="164" t="s">
        <v>99</v>
      </c>
      <c r="B32" s="154">
        <f>SUM(B26:B31)</f>
        <v>172</v>
      </c>
      <c r="C32" s="154">
        <f>SUM(C26:C31)</f>
        <v>35</v>
      </c>
      <c r="D32" s="154">
        <f t="shared" si="3"/>
        <v>207</v>
      </c>
      <c r="E32" s="155">
        <f t="shared" si="4"/>
        <v>0.83091787439613529</v>
      </c>
      <c r="F32" s="155">
        <f t="shared" si="5"/>
        <v>0.16908212560386474</v>
      </c>
    </row>
    <row r="33" spans="1:6" x14ac:dyDescent="0.25">
      <c r="A33" s="146"/>
      <c r="B33" s="156"/>
      <c r="C33" s="156"/>
      <c r="D33" s="151"/>
      <c r="E33" s="158"/>
      <c r="F33" s="158"/>
    </row>
    <row r="34" spans="1:6" x14ac:dyDescent="0.25">
      <c r="A34" s="165" t="s">
        <v>93</v>
      </c>
      <c r="B34" s="142"/>
      <c r="C34" s="151"/>
      <c r="D34" s="151"/>
      <c r="E34" s="424"/>
      <c r="F34" s="424"/>
    </row>
    <row r="35" spans="1:6" x14ac:dyDescent="0.25">
      <c r="A35" s="145" t="s">
        <v>213</v>
      </c>
      <c r="B35" s="157">
        <f>GETPIVOTDATA("Sum of Female",'h7'!$A$4,"Type","Support","PostConv","Director")</f>
        <v>2</v>
      </c>
      <c r="C35" s="422">
        <f>GETPIVOTDATA("Sum of Male",'h7'!$A$4,"Type","Support","PostConv","Director")</f>
        <v>1</v>
      </c>
      <c r="D35" s="425">
        <f>SUM(B35:C35)</f>
        <v>3</v>
      </c>
      <c r="E35" s="423">
        <f t="shared" ref="E35:E41" si="6">B35/(B35+C35)</f>
        <v>0.66666666666666663</v>
      </c>
      <c r="F35" s="423">
        <f t="shared" ref="F35:F41" si="7">C35/(B35+C35)</f>
        <v>0.33333333333333331</v>
      </c>
    </row>
    <row r="36" spans="1:6" x14ac:dyDescent="0.25">
      <c r="A36" s="145" t="s">
        <v>84</v>
      </c>
      <c r="B36" s="157">
        <f>GETPIVOTDATA("Sum of Female",'h7'!$A$4,"Type","Support","PostConv","Service Manager")</f>
        <v>15</v>
      </c>
      <c r="C36" s="157">
        <f>GETPIVOTDATA("Sum of Male",'h7'!$A$4,"Type","Support","PostConv","Service Manager")</f>
        <v>34</v>
      </c>
      <c r="D36" s="151">
        <f t="shared" ref="D36:D41" si="8">SUM(B36:C36)</f>
        <v>49</v>
      </c>
      <c r="E36" s="148">
        <f t="shared" si="6"/>
        <v>0.30612244897959184</v>
      </c>
      <c r="F36" s="148">
        <f t="shared" si="7"/>
        <v>0.69387755102040816</v>
      </c>
    </row>
    <row r="37" spans="1:6" x14ac:dyDescent="0.25">
      <c r="A37" s="145" t="s">
        <v>90</v>
      </c>
      <c r="B37" s="157">
        <f>GETPIVOTDATA("Sum of Female",'h7'!$A$4,"Type","Support","PostConv","Team Leader")</f>
        <v>21</v>
      </c>
      <c r="C37" s="157">
        <f>GETPIVOTDATA("Sum of Male",'h7'!$A$4,"Type","Support","PostConv","Team Leader")</f>
        <v>13</v>
      </c>
      <c r="D37" s="151">
        <f t="shared" si="8"/>
        <v>34</v>
      </c>
      <c r="E37" s="148">
        <f t="shared" si="6"/>
        <v>0.61764705882352944</v>
      </c>
      <c r="F37" s="148">
        <f t="shared" si="7"/>
        <v>0.38235294117647056</v>
      </c>
    </row>
    <row r="38" spans="1:6" x14ac:dyDescent="0.25">
      <c r="A38" s="145" t="s">
        <v>86</v>
      </c>
      <c r="B38" s="157">
        <f>GETPIVOTDATA("Sum of Female",'h7'!$A$4,"Type","Support","PostConv","Professional")</f>
        <v>58</v>
      </c>
      <c r="C38" s="157">
        <f>GETPIVOTDATA("Sum of Male",'h7'!$A$4,"Type","Support","PostConv","Professional")</f>
        <v>26</v>
      </c>
      <c r="D38" s="151">
        <f t="shared" si="8"/>
        <v>84</v>
      </c>
      <c r="E38" s="148">
        <f t="shared" si="6"/>
        <v>0.69047619047619047</v>
      </c>
      <c r="F38" s="148">
        <f t="shared" si="7"/>
        <v>0.30952380952380953</v>
      </c>
    </row>
    <row r="39" spans="1:6" x14ac:dyDescent="0.25">
      <c r="A39" s="145" t="s">
        <v>100</v>
      </c>
      <c r="B39" s="157">
        <f>GETPIVOTDATA("Sum of Female",'h7'!$A$4,"Type","Support","PostConv","Specialist Technical")</f>
        <v>146</v>
      </c>
      <c r="C39" s="157">
        <f>GETPIVOTDATA("Sum of Male",'h7'!$A$4,"Type","Support","PostConv","Specialist Technical")</f>
        <v>242</v>
      </c>
      <c r="D39" s="151">
        <f t="shared" si="8"/>
        <v>388</v>
      </c>
      <c r="E39" s="148">
        <f t="shared" si="6"/>
        <v>0.37628865979381443</v>
      </c>
      <c r="F39" s="148">
        <f t="shared" si="7"/>
        <v>0.62371134020618557</v>
      </c>
    </row>
    <row r="40" spans="1:6" x14ac:dyDescent="0.25">
      <c r="A40" s="145" t="s">
        <v>88</v>
      </c>
      <c r="B40" s="156">
        <f>GETPIVOTDATA("Sum of Female",'h7'!$A$4,"Type","Support","PostConv","Tech Support")</f>
        <v>26</v>
      </c>
      <c r="C40" s="156">
        <f>GETPIVOTDATA("Sum of Male",'h7'!$A$4,"Type","Support","PostConv","Tech Support")</f>
        <v>38</v>
      </c>
      <c r="D40" s="151">
        <f t="shared" si="8"/>
        <v>64</v>
      </c>
      <c r="E40" s="148">
        <f t="shared" si="6"/>
        <v>0.40625</v>
      </c>
      <c r="F40" s="148">
        <f t="shared" si="7"/>
        <v>0.59375</v>
      </c>
    </row>
    <row r="41" spans="1:6" x14ac:dyDescent="0.25">
      <c r="A41" s="145" t="s">
        <v>101</v>
      </c>
      <c r="B41" s="156">
        <f>GETPIVOTDATA("Sum of Female",'h7'!$A$4,"Type","Support","PostConv","Administration")</f>
        <v>159</v>
      </c>
      <c r="C41" s="156">
        <f>GETPIVOTDATA("Sum of Male",'h7'!$A$4,"Type","Support","PostConv","Administration")</f>
        <v>11</v>
      </c>
      <c r="D41" s="151">
        <f t="shared" si="8"/>
        <v>170</v>
      </c>
      <c r="E41" s="148">
        <f t="shared" si="6"/>
        <v>0.93529411764705883</v>
      </c>
      <c r="F41" s="148">
        <f t="shared" si="7"/>
        <v>6.4705882352941183E-2</v>
      </c>
    </row>
    <row r="42" spans="1:6" ht="15.75" thickBot="1" x14ac:dyDescent="0.3">
      <c r="A42" s="164" t="s">
        <v>102</v>
      </c>
      <c r="B42" s="154">
        <f>SUM(B35:B41)</f>
        <v>427</v>
      </c>
      <c r="C42" s="154">
        <f>SUM(C35:C41)</f>
        <v>365</v>
      </c>
      <c r="D42" s="154">
        <f>SUM(B42:C42)</f>
        <v>792</v>
      </c>
      <c r="E42" s="155">
        <f>B42/(B42+C42)</f>
        <v>0.53914141414141414</v>
      </c>
      <c r="F42" s="155">
        <f>C42/(B42+C42)</f>
        <v>0.46085858585858586</v>
      </c>
    </row>
    <row r="43" spans="1:6" x14ac:dyDescent="0.25">
      <c r="A43" s="31"/>
      <c r="B43" s="168"/>
      <c r="C43" s="168"/>
      <c r="D43" s="151"/>
      <c r="E43" s="158"/>
      <c r="F43" s="158"/>
    </row>
    <row r="44" spans="1:6" x14ac:dyDescent="0.25">
      <c r="A44" s="165" t="s">
        <v>29</v>
      </c>
      <c r="B44" s="159"/>
      <c r="C44" s="168"/>
      <c r="D44" s="151"/>
      <c r="E44" s="424"/>
      <c r="F44" s="424"/>
    </row>
    <row r="45" spans="1:6" x14ac:dyDescent="0.25">
      <c r="A45" s="152" t="s">
        <v>226</v>
      </c>
      <c r="B45" s="156">
        <f>GETPIVOTDATA("Sum of Female",'h7'!$A$4,"Type","Vol","PostConv","Watch Manager")</f>
        <v>5</v>
      </c>
      <c r="C45" s="426">
        <f>GETPIVOTDATA("Sum of Male",'h7'!$A$4,"Type","Vol","PostConv","Watch Manager")</f>
        <v>32</v>
      </c>
      <c r="D45" s="427">
        <f>SUM(B45:C45)</f>
        <v>37</v>
      </c>
      <c r="E45" s="423">
        <f>B45/(B45+C45)</f>
        <v>0.13513513513513514</v>
      </c>
      <c r="F45" s="423">
        <f>C45/(B45+C45)</f>
        <v>0.86486486486486491</v>
      </c>
    </row>
    <row r="46" spans="1:6" x14ac:dyDescent="0.25">
      <c r="A46" s="152" t="s">
        <v>227</v>
      </c>
      <c r="B46" s="156">
        <f>GETPIVOTDATA("Sum of Female",'h7'!$A$4,"Type","Vol","PostConv","Crew Manager")</f>
        <v>3</v>
      </c>
      <c r="C46" s="156">
        <f>GETPIVOTDATA("Sum of Male",'h7'!$A$4,"Type","Vol","PostConv","Crew Manager")</f>
        <v>37</v>
      </c>
      <c r="D46" s="169">
        <f t="shared" ref="D46:D47" si="9">SUM(B46:C46)</f>
        <v>40</v>
      </c>
      <c r="E46" s="148">
        <f>B46/(B46+C46)</f>
        <v>7.4999999999999997E-2</v>
      </c>
      <c r="F46" s="148">
        <f>C46/(B46+C46)</f>
        <v>0.92500000000000004</v>
      </c>
    </row>
    <row r="47" spans="1:6" x14ac:dyDescent="0.25">
      <c r="A47" s="152" t="s">
        <v>228</v>
      </c>
      <c r="B47" s="156">
        <f>GETPIVOTDATA("Sum of Female",'h7'!$A$4,"Type","Vol","PostConv","Firefighter")</f>
        <v>46</v>
      </c>
      <c r="C47" s="156">
        <f>GETPIVOTDATA("Sum of Male",'h7'!$A$4,"Type","Vol","PostConv","Firefighter")</f>
        <v>194</v>
      </c>
      <c r="D47" s="169">
        <f t="shared" si="9"/>
        <v>240</v>
      </c>
      <c r="E47" s="148">
        <f>B47/(B47+C47)</f>
        <v>0.19166666666666668</v>
      </c>
      <c r="F47" s="148">
        <f>C47/(B47+C47)</f>
        <v>0.80833333333333335</v>
      </c>
    </row>
    <row r="48" spans="1:6" ht="15.75" thickBot="1" x14ac:dyDescent="0.3">
      <c r="A48" s="164" t="s">
        <v>103</v>
      </c>
      <c r="B48" s="154">
        <f>SUM(B45:B47)</f>
        <v>54</v>
      </c>
      <c r="C48" s="154">
        <f>SUM(C45:C47)</f>
        <v>263</v>
      </c>
      <c r="D48" s="154">
        <f>SUM(B48:C48)</f>
        <v>317</v>
      </c>
      <c r="E48" s="155">
        <f>B48/(B48+C48)</f>
        <v>0.17034700315457413</v>
      </c>
      <c r="F48" s="155">
        <f>C48/(B48+C48)</f>
        <v>0.82965299684542582</v>
      </c>
    </row>
    <row r="49" spans="1:7" x14ac:dyDescent="0.25">
      <c r="A49" s="170"/>
      <c r="B49" s="171"/>
      <c r="C49" s="171"/>
      <c r="D49" s="172"/>
      <c r="E49" s="173"/>
      <c r="F49" s="173"/>
    </row>
    <row r="50" spans="1:7" ht="15.75" thickBot="1" x14ac:dyDescent="0.3">
      <c r="A50" s="174" t="s">
        <v>104</v>
      </c>
      <c r="B50" s="175">
        <f>B48+B42+B32+B23+B17</f>
        <v>1051</v>
      </c>
      <c r="C50" s="175">
        <f>C48+C42+C32+C23+C17</f>
        <v>6855</v>
      </c>
      <c r="D50" s="175">
        <f>D48+D42+D32+D23+D17</f>
        <v>7906</v>
      </c>
      <c r="E50" s="155">
        <f>B50/(B50+C50)</f>
        <v>0.1329370098659246</v>
      </c>
      <c r="F50" s="155">
        <f>C50/(B50+C50)</f>
        <v>0.8670629901340754</v>
      </c>
    </row>
    <row r="51" spans="1:7" x14ac:dyDescent="0.25">
      <c r="A51" s="176"/>
      <c r="B51" s="177"/>
      <c r="C51" s="177"/>
      <c r="D51" s="177"/>
      <c r="E51" s="173"/>
      <c r="F51" s="173"/>
    </row>
    <row r="52" spans="1:7" ht="15.75" thickBot="1" x14ac:dyDescent="0.3">
      <c r="A52" s="178" t="s">
        <v>105</v>
      </c>
      <c r="B52" s="175">
        <f>B50-B48</f>
        <v>997</v>
      </c>
      <c r="C52" s="175">
        <f>C50-C48</f>
        <v>6592</v>
      </c>
      <c r="D52" s="154">
        <f>SUM(B52:C52)</f>
        <v>7589</v>
      </c>
      <c r="E52" s="155">
        <f>B52/(B52+C52)</f>
        <v>0.13137435762287522</v>
      </c>
      <c r="F52" s="155">
        <f>C52/(B52+C52)</f>
        <v>0.86862564237712481</v>
      </c>
    </row>
    <row r="53" spans="1:7" x14ac:dyDescent="0.25">
      <c r="A53" s="179"/>
      <c r="B53" s="179"/>
      <c r="C53" s="179"/>
      <c r="D53" s="180"/>
      <c r="E53" s="181" t="s">
        <v>106</v>
      </c>
      <c r="F53" s="31"/>
    </row>
    <row r="54" spans="1:7" x14ac:dyDescent="0.25">
      <c r="A54" s="494" t="s">
        <v>8</v>
      </c>
      <c r="B54" s="503"/>
      <c r="C54" s="503"/>
      <c r="D54" s="504"/>
      <c r="E54" s="505"/>
      <c r="F54" s="501"/>
      <c r="G54" s="501"/>
    </row>
    <row r="55" spans="1:7" ht="45" customHeight="1" x14ac:dyDescent="0.25">
      <c r="A55" s="1005" t="s">
        <v>232</v>
      </c>
      <c r="B55" s="1005"/>
      <c r="C55" s="1005"/>
      <c r="D55" s="1005"/>
      <c r="E55" s="1005"/>
      <c r="F55" s="1005"/>
      <c r="G55" s="1005"/>
    </row>
    <row r="56" spans="1:7" ht="30" customHeight="1" x14ac:dyDescent="0.25">
      <c r="A56" s="1015" t="s">
        <v>233</v>
      </c>
      <c r="B56" s="1015"/>
      <c r="C56" s="1015"/>
      <c r="D56" s="1015"/>
      <c r="E56" s="1015"/>
      <c r="F56" s="1015"/>
      <c r="G56" s="501"/>
    </row>
    <row r="57" spans="1:7" ht="45" customHeight="1" x14ac:dyDescent="0.25">
      <c r="A57" s="1016" t="s">
        <v>234</v>
      </c>
      <c r="B57" s="1016"/>
      <c r="C57" s="1016"/>
      <c r="D57" s="1016"/>
      <c r="E57" s="1016"/>
      <c r="F57" s="1016"/>
      <c r="G57" s="501"/>
    </row>
    <row r="58" spans="1:7" x14ac:dyDescent="0.25">
      <c r="A58" s="976" t="s">
        <v>838</v>
      </c>
    </row>
  </sheetData>
  <sheetProtection algorithmName="SHA-512" hashValue="9CfwZdwg3Q93UvBwjC3UXZZJ3oApeImBrUnCgD1Nt3CEDTOo178sokL4XoEKPqjYR+gaXP4m5uPJ+GbsZX7Ilg==" saltValue="nsPOvS/EjQ/3fkb6YcWrDA==" spinCount="100000" sheet="1" scenarios="1" pivotTables="0"/>
  <mergeCells count="5">
    <mergeCell ref="A4:F4"/>
    <mergeCell ref="A56:F56"/>
    <mergeCell ref="A57:F57"/>
    <mergeCell ref="A55:G55"/>
    <mergeCell ref="A1:C1"/>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3" orientation="portrait" r:id="rId1"/>
  <drawing r:id="rId2"/>
  <extLst>
    <ext xmlns:x14="http://schemas.microsoft.com/office/spreadsheetml/2009/9/main" uri="{A8765BA9-456A-4dab-B4F3-ACF838C121DE}">
      <x14:slicerList>
        <x14:slicer r:id="rId3"/>
      </x14:slicerList>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39997558519241921"/>
    <pageSetUpPr fitToPage="1"/>
  </sheetPr>
  <dimension ref="A1:Q58"/>
  <sheetViews>
    <sheetView showGridLines="0" workbookViewId="0">
      <pane ySplit="2" topLeftCell="A3" activePane="bottomLeft" state="frozen"/>
      <selection sqref="A1:C1"/>
      <selection pane="bottomLeft" sqref="A1:C1"/>
    </sheetView>
  </sheetViews>
  <sheetFormatPr defaultRowHeight="15" x14ac:dyDescent="0.25"/>
  <cols>
    <col min="1" max="1" width="37.28515625" bestFit="1" customWidth="1"/>
    <col min="2" max="6" width="13.42578125" customWidth="1"/>
  </cols>
  <sheetData>
    <row r="1" spans="1:6" ht="15.75" x14ac:dyDescent="0.25">
      <c r="A1" s="822" t="s">
        <v>523</v>
      </c>
      <c r="B1" s="822"/>
      <c r="C1" s="822"/>
    </row>
    <row r="2" spans="1:6" x14ac:dyDescent="0.25">
      <c r="A2" s="790" t="s">
        <v>598</v>
      </c>
    </row>
    <row r="3" spans="1:6" x14ac:dyDescent="0.25">
      <c r="A3" s="31"/>
      <c r="B3" s="31"/>
      <c r="C3" s="31"/>
    </row>
    <row r="4" spans="1:6" ht="15.75" customHeight="1" x14ac:dyDescent="0.25">
      <c r="A4" s="1013" t="s">
        <v>543</v>
      </c>
      <c r="B4" s="1013"/>
      <c r="C4" s="1013"/>
      <c r="D4" s="1013"/>
      <c r="E4" s="1013"/>
      <c r="F4" s="1013"/>
    </row>
    <row r="5" spans="1:6" ht="15" customHeight="1" x14ac:dyDescent="0.25">
      <c r="A5" t="s">
        <v>368</v>
      </c>
      <c r="B5" t="s">
        <v>786</v>
      </c>
      <c r="C5" s="628"/>
      <c r="D5" s="637"/>
      <c r="E5" s="637"/>
      <c r="F5" s="637"/>
    </row>
    <row r="6" spans="1:6" ht="15" customHeight="1" x14ac:dyDescent="0.25">
      <c r="A6" t="s">
        <v>369</v>
      </c>
      <c r="B6" t="s">
        <v>371</v>
      </c>
      <c r="C6" s="628"/>
      <c r="D6" s="637"/>
      <c r="E6" s="637"/>
      <c r="F6" s="637"/>
    </row>
    <row r="7" spans="1:6" ht="15" customHeight="1" x14ac:dyDescent="0.25">
      <c r="A7" t="s">
        <v>370</v>
      </c>
      <c r="B7" t="s">
        <v>372</v>
      </c>
      <c r="C7" s="628"/>
      <c r="D7" s="637"/>
      <c r="E7" s="637"/>
      <c r="F7" s="637"/>
    </row>
    <row r="8" spans="1:6" ht="15.75" x14ac:dyDescent="0.25">
      <c r="A8" s="213"/>
      <c r="B8" s="211"/>
      <c r="C8" s="211"/>
      <c r="D8" s="223" t="s">
        <v>6</v>
      </c>
      <c r="E8" s="414"/>
      <c r="F8" s="139" t="s">
        <v>7</v>
      </c>
    </row>
    <row r="9" spans="1:6" x14ac:dyDescent="0.25">
      <c r="A9" s="428" t="s">
        <v>27</v>
      </c>
      <c r="B9" s="317" t="s">
        <v>95</v>
      </c>
      <c r="C9" s="317" t="s">
        <v>96</v>
      </c>
      <c r="D9" s="431" t="s">
        <v>26</v>
      </c>
      <c r="E9" s="432" t="s">
        <v>95</v>
      </c>
      <c r="F9" s="317" t="s">
        <v>96</v>
      </c>
    </row>
    <row r="10" spans="1:6" x14ac:dyDescent="0.25">
      <c r="A10" s="429" t="s">
        <v>212</v>
      </c>
      <c r="B10" s="430">
        <f>GETPIVOTDATA("Sum of Female",'h9'!$A$3,"Type","WT","PostConv","Brigade Manager")</f>
        <v>0</v>
      </c>
      <c r="C10" s="445">
        <f>GETPIVOTDATA("Sum of Male",'h9'!$A$3,"Type","WT","PostConv","Brigade Manager")</f>
        <v>4</v>
      </c>
      <c r="D10" s="456">
        <f>GETPIVOTDATA("Sum of Total",'h9'!$A$3,"Type","WT","PostConv","Brigade Manager")</f>
        <v>4</v>
      </c>
      <c r="E10" s="423">
        <f t="shared" ref="E10:E17" si="0">B10/(B10+C10)</f>
        <v>0</v>
      </c>
      <c r="F10" s="423">
        <f t="shared" ref="F10:F17" si="1">C10/(B10+C10)</f>
        <v>1</v>
      </c>
    </row>
    <row r="11" spans="1:6" x14ac:dyDescent="0.25">
      <c r="A11" s="145" t="s">
        <v>18</v>
      </c>
      <c r="B11" s="149">
        <f>GETPIVOTDATA("Sum of Female",'h9'!$A$3,"Type","WT","PostConv","Area Manager")</f>
        <v>0</v>
      </c>
      <c r="C11" s="446">
        <f>GETPIVOTDATA("Sum of Male",'h9'!$A$3,"Type","WT","PostConv","Area Manager")</f>
        <v>33</v>
      </c>
      <c r="D11" s="457">
        <f>GETPIVOTDATA("Sum of Total",'h9'!$A$3,"Type","WT","PostConv","Area Manager")</f>
        <v>33</v>
      </c>
      <c r="E11" s="148">
        <f t="shared" si="0"/>
        <v>0</v>
      </c>
      <c r="F11" s="148">
        <f t="shared" si="1"/>
        <v>1</v>
      </c>
    </row>
    <row r="12" spans="1:6" x14ac:dyDescent="0.25">
      <c r="A12" s="145" t="s">
        <v>19</v>
      </c>
      <c r="B12" s="447">
        <f>GETPIVOTDATA("Sum of Female",'h9'!$A$3,"Type","WT","PostConv","Group Manager")</f>
        <v>2</v>
      </c>
      <c r="C12" s="447">
        <f>GETPIVOTDATA("Sum of Male",'h9'!$A$3,"Type","WT","PostConv","Group Manager")</f>
        <v>78</v>
      </c>
      <c r="D12" s="458">
        <f>GETPIVOTDATA("Sum of Total",'h9'!$A$3,"Type","WT","PostConv","Group Manager")</f>
        <v>80</v>
      </c>
      <c r="E12" s="148">
        <f t="shared" si="0"/>
        <v>2.5000000000000001E-2</v>
      </c>
      <c r="F12" s="148">
        <f t="shared" si="1"/>
        <v>0.97499999999999998</v>
      </c>
    </row>
    <row r="13" spans="1:6" x14ac:dyDescent="0.25">
      <c r="A13" s="145" t="s">
        <v>20</v>
      </c>
      <c r="B13" s="447">
        <f>GETPIVOTDATA("Sum of Female",'h9'!$A$3,"Type","WT","PostConv","Station Manager")</f>
        <v>2</v>
      </c>
      <c r="C13" s="447">
        <f>GETPIVOTDATA("Sum of Male",'h9'!$A$3,"Type","WT","PostConv","Station Manager")</f>
        <v>145</v>
      </c>
      <c r="D13" s="458">
        <f>GETPIVOTDATA("Sum of Total",'h9'!$A$3,"Type","WT","PostConv","Station Manager")</f>
        <v>147</v>
      </c>
      <c r="E13" s="148">
        <f t="shared" si="0"/>
        <v>1.3605442176870748E-2</v>
      </c>
      <c r="F13" s="148">
        <f t="shared" si="1"/>
        <v>0.98639455782312924</v>
      </c>
    </row>
    <row r="14" spans="1:6" x14ac:dyDescent="0.25">
      <c r="A14" s="145" t="s">
        <v>21</v>
      </c>
      <c r="B14" s="447">
        <f>GETPIVOTDATA("Sum of Female",'h9'!$A$3,"Type","WT","PostConv","Watch Manager")</f>
        <v>33</v>
      </c>
      <c r="C14" s="447">
        <f>GETPIVOTDATA("Sum of Male",'h9'!$A$3,"Type","WT","PostConv","Watch Manager")</f>
        <v>578</v>
      </c>
      <c r="D14" s="458">
        <f>GETPIVOTDATA("Sum of Total",'h9'!$A$3,"Type","WT","PostConv","Watch Manager")</f>
        <v>611</v>
      </c>
      <c r="E14" s="148">
        <f t="shared" si="0"/>
        <v>5.4009819967266774E-2</v>
      </c>
      <c r="F14" s="148">
        <f t="shared" si="1"/>
        <v>0.94599018003273327</v>
      </c>
    </row>
    <row r="15" spans="1:6" x14ac:dyDescent="0.25">
      <c r="A15" s="145" t="s">
        <v>22</v>
      </c>
      <c r="B15" s="447">
        <f>GETPIVOTDATA("Sum of Female",'h9'!$A$3,"Type","WT","PostConv","Crew Manager")</f>
        <v>27</v>
      </c>
      <c r="C15" s="447">
        <f>GETPIVOTDATA("Sum of Male",'h9'!$A$3,"Type","WT","PostConv","Crew Manager")</f>
        <v>660</v>
      </c>
      <c r="D15" s="458">
        <f>GETPIVOTDATA("Sum of Total",'h9'!$A$3,"Type","WT","PostConv","Crew Manager")</f>
        <v>687</v>
      </c>
      <c r="E15" s="148">
        <f t="shared" si="0"/>
        <v>3.9301310043668124E-2</v>
      </c>
      <c r="F15" s="148">
        <f t="shared" si="1"/>
        <v>0.9606986899563319</v>
      </c>
    </row>
    <row r="16" spans="1:6" x14ac:dyDescent="0.25">
      <c r="A16" s="145" t="s">
        <v>23</v>
      </c>
      <c r="B16" s="447">
        <f>GETPIVOTDATA("Sum of Female",'h9'!$A$3,"Type","WT","PostConv","Firefighter")</f>
        <v>130.93</v>
      </c>
      <c r="C16" s="447">
        <f>GETPIVOTDATA("Sum of Male",'h9'!$A$3,"Type","WT","PostConv","Firefighter")</f>
        <v>1943</v>
      </c>
      <c r="D16" s="458">
        <f>GETPIVOTDATA("Sum of Total",'h9'!$A$3,"Type","WT","PostConv","Firefighter")</f>
        <v>2073.9299999999998</v>
      </c>
      <c r="E16" s="148">
        <f t="shared" si="0"/>
        <v>6.3131349659824587E-2</v>
      </c>
      <c r="F16" s="148">
        <f t="shared" si="1"/>
        <v>0.93686865034017552</v>
      </c>
    </row>
    <row r="17" spans="1:6" ht="15.75" thickBot="1" x14ac:dyDescent="0.3">
      <c r="A17" s="153" t="s">
        <v>540</v>
      </c>
      <c r="B17" s="448">
        <f>GETPIVOTDATA("Sum of Female",'h9'!$A$3,"Type","WT")</f>
        <v>194.93</v>
      </c>
      <c r="C17" s="448">
        <f>GETPIVOTDATA("Sum of Male",'h9'!$A$3,"Type","WT")</f>
        <v>3441</v>
      </c>
      <c r="D17" s="459">
        <f>SUM(B17:C17)</f>
        <v>3635.93</v>
      </c>
      <c r="E17" s="155">
        <f t="shared" si="0"/>
        <v>5.361214324808234E-2</v>
      </c>
      <c r="F17" s="155">
        <f t="shared" si="1"/>
        <v>0.94638785675191772</v>
      </c>
    </row>
    <row r="18" spans="1:6" x14ac:dyDescent="0.25">
      <c r="A18" s="146"/>
      <c r="B18" s="215"/>
      <c r="C18" s="215"/>
      <c r="D18" s="453"/>
      <c r="E18" s="158"/>
      <c r="F18" s="158"/>
    </row>
    <row r="19" spans="1:6" x14ac:dyDescent="0.25">
      <c r="A19" s="428" t="s">
        <v>28</v>
      </c>
      <c r="B19" s="219"/>
      <c r="C19" s="219"/>
      <c r="D19" s="453"/>
      <c r="E19" s="424"/>
      <c r="F19" s="424"/>
    </row>
    <row r="20" spans="1:6" x14ac:dyDescent="0.25">
      <c r="A20" s="429" t="s">
        <v>21</v>
      </c>
      <c r="B20" s="449">
        <f>GETPIVOTDATA("Sum of Female",'h9'!$A$3,"Type","RDS","PostConv","Watch Manager")</f>
        <v>13.5</v>
      </c>
      <c r="C20" s="449">
        <f>GETPIVOTDATA("Sum of Male",'h9'!$A$3,"Type","RDS","PostConv","Watch Manager")</f>
        <v>254.75</v>
      </c>
      <c r="D20" s="451">
        <f>GETPIVOTDATA("Sum of Total",'h9'!$A$3,"Type","RDS","PostConv","Watch Manager")</f>
        <v>268.25</v>
      </c>
      <c r="E20" s="423">
        <f>B20/(B20+C20)</f>
        <v>5.0326188257222737E-2</v>
      </c>
      <c r="F20" s="423">
        <f>C20/(B20+C20)</f>
        <v>0.94967381174277721</v>
      </c>
    </row>
    <row r="21" spans="1:6" x14ac:dyDescent="0.25">
      <c r="A21" s="145" t="s">
        <v>22</v>
      </c>
      <c r="B21" s="450">
        <f>GETPIVOTDATA("Sum of Female",'h9'!$A$3,"Type","RDS","PostConv","Crew Manager")</f>
        <v>19</v>
      </c>
      <c r="C21" s="450">
        <f>GETPIVOTDATA("Sum of Male",'h9'!$A$3,"Type","RDS","PostConv","Crew Manager")</f>
        <v>459.93</v>
      </c>
      <c r="D21" s="452">
        <f>GETPIVOTDATA("Sum of Total",'h9'!$A$3,"Type","RDS","PostConv","Crew Manager")</f>
        <v>478.93</v>
      </c>
      <c r="E21" s="148">
        <f>B21/(B21+C21)</f>
        <v>3.9671768316873031E-2</v>
      </c>
      <c r="F21" s="148">
        <f>C21/(B21+C21)</f>
        <v>0.96032823168312698</v>
      </c>
    </row>
    <row r="22" spans="1:6" x14ac:dyDescent="0.25">
      <c r="A22" s="145" t="s">
        <v>23</v>
      </c>
      <c r="B22" s="450">
        <f>GETPIVOTDATA("Sum of Female",'h9'!$A$3,"Type","RDS","PostConv","Firefighter")</f>
        <v>148.4</v>
      </c>
      <c r="C22" s="450">
        <f>GETPIVOTDATA("Sum of Male",'h9'!$A$3,"Type","RDS","PostConv","Firefighter")</f>
        <v>1715.4</v>
      </c>
      <c r="D22" s="452">
        <f>GETPIVOTDATA("Sum of Total",'h9'!$A$3,"Type","RDS","PostConv","Firefighter")</f>
        <v>1863.8</v>
      </c>
      <c r="E22" s="148">
        <f>B22/(B22+C22)</f>
        <v>7.9622277068354966E-2</v>
      </c>
      <c r="F22" s="148">
        <f>C22/(B22+C22)</f>
        <v>0.92037772293164499</v>
      </c>
    </row>
    <row r="23" spans="1:6" ht="15.75" thickBot="1" x14ac:dyDescent="0.3">
      <c r="A23" s="153" t="s">
        <v>97</v>
      </c>
      <c r="B23" s="448">
        <f>GETPIVOTDATA("Sum of Female",'h9'!$A$3,"Type","RDS")</f>
        <v>180.9</v>
      </c>
      <c r="C23" s="448">
        <f>GETPIVOTDATA("Sum of Male",'h9'!$A$3,"Type","RDS")</f>
        <v>2430.08</v>
      </c>
      <c r="D23" s="460">
        <f>GETPIVOTDATA("Sum of Total",'h9'!$A$3,"Type","RDS")</f>
        <v>2610.98</v>
      </c>
      <c r="E23" s="155">
        <f>B23/(B23+C23)</f>
        <v>6.9284330021677693E-2</v>
      </c>
      <c r="F23" s="155">
        <f>C23/(B23+C23)</f>
        <v>0.93071566997832234</v>
      </c>
    </row>
    <row r="24" spans="1:6" x14ac:dyDescent="0.25">
      <c r="A24" s="146"/>
      <c r="B24" s="215"/>
      <c r="C24" s="215"/>
      <c r="D24" s="452"/>
      <c r="E24" s="158"/>
      <c r="F24" s="158"/>
    </row>
    <row r="25" spans="1:6" x14ac:dyDescent="0.25">
      <c r="A25" s="141" t="s">
        <v>98</v>
      </c>
      <c r="B25" s="219"/>
      <c r="C25" s="219"/>
      <c r="D25" s="452"/>
      <c r="E25" s="161"/>
      <c r="F25" s="424"/>
    </row>
    <row r="26" spans="1:6" x14ac:dyDescent="0.25">
      <c r="A26" s="145" t="s">
        <v>18</v>
      </c>
      <c r="B26" s="430">
        <f>IFERROR(GETPIVOTDATA("Sum of Female",'h9'!$A$3,"Type","Control","PostConv","Area Manager"),0)</f>
        <v>1</v>
      </c>
      <c r="C26" s="430">
        <f>IFERROR(GETPIVOTDATA("Sum of Male",'h9'!$A$3,"Type","Control","PostConv","Area Manager"),0)</f>
        <v>0</v>
      </c>
      <c r="D26" s="586">
        <f>IFERROR(GETPIVOTDATA("Sum of Total",'h9'!$A$3,"Type","Control","PostConv","Area Manager"),0)</f>
        <v>1</v>
      </c>
      <c r="E26" s="148">
        <f>IFERROR(B26/(B26+C26),0)</f>
        <v>1</v>
      </c>
      <c r="F26" s="423">
        <f>IFERROR(C26/(B26+C26),0)</f>
        <v>0</v>
      </c>
    </row>
    <row r="27" spans="1:6" x14ac:dyDescent="0.25">
      <c r="A27" s="145" t="s">
        <v>19</v>
      </c>
      <c r="B27" s="216">
        <f>GETPIVOTDATA("Sum of Female",'h9'!$A$3,"Type","Control","PostConv","Group Manager")</f>
        <v>3</v>
      </c>
      <c r="C27" s="216">
        <f>GETPIVOTDATA("Sum of Male",'h9'!$A$3,"Type","Control","PostConv","Group Manager")</f>
        <v>1</v>
      </c>
      <c r="D27" s="452">
        <f>GETPIVOTDATA("Sum of Total",'h9'!$A$3,"Type","Control","PostConv","Group Manager")</f>
        <v>4</v>
      </c>
      <c r="E27" s="148">
        <f t="shared" ref="E27:E32" si="2">B27/(B27+C27)</f>
        <v>0.75</v>
      </c>
      <c r="F27" s="148">
        <f t="shared" ref="F27:F32" si="3">C27/(B27+C27)</f>
        <v>0.25</v>
      </c>
    </row>
    <row r="28" spans="1:6" x14ac:dyDescent="0.25">
      <c r="A28" s="145" t="s">
        <v>20</v>
      </c>
      <c r="B28" s="450">
        <f>GETPIVOTDATA("Sum of Female",'h9'!$A$3,"Type","Control","PostConv","Station Manager")</f>
        <v>8</v>
      </c>
      <c r="C28" s="450">
        <f>GETPIVOTDATA("Sum of Male",'h9'!$A$3,"Type","Control","PostConv","Station Manager")</f>
        <v>1</v>
      </c>
      <c r="D28" s="452">
        <f>GETPIVOTDATA("Sum of Total",'h9'!$A$3,"Type","Control","PostConv","Station Manager")</f>
        <v>9</v>
      </c>
      <c r="E28" s="148">
        <f t="shared" si="2"/>
        <v>0.88888888888888884</v>
      </c>
      <c r="F28" s="148">
        <f t="shared" si="3"/>
        <v>0.1111111111111111</v>
      </c>
    </row>
    <row r="29" spans="1:6" x14ac:dyDescent="0.25">
      <c r="A29" s="145" t="s">
        <v>21</v>
      </c>
      <c r="B29" s="450">
        <f>GETPIVOTDATA("Sum of Female",'h9'!$A$3,"Type","Control","PostConv","Watch Manager")</f>
        <v>36</v>
      </c>
      <c r="C29" s="450">
        <f>GETPIVOTDATA("Sum of Male",'h9'!$A$3,"Type","Control","PostConv","Watch Manager")</f>
        <v>6</v>
      </c>
      <c r="D29" s="452">
        <f>GETPIVOTDATA("Sum of Total",'h9'!$A$3,"Type","Control","PostConv","Watch Manager")</f>
        <v>42</v>
      </c>
      <c r="E29" s="148">
        <f t="shared" si="2"/>
        <v>0.8571428571428571</v>
      </c>
      <c r="F29" s="148">
        <f t="shared" si="3"/>
        <v>0.14285714285714285</v>
      </c>
    </row>
    <row r="30" spans="1:6" x14ac:dyDescent="0.25">
      <c r="A30" s="145" t="s">
        <v>22</v>
      </c>
      <c r="B30" s="450">
        <f>GETPIVOTDATA("Sum of Female",'h9'!$A$3,"Type","Control","PostConv","Crew Manager")</f>
        <v>21</v>
      </c>
      <c r="C30" s="450">
        <f>GETPIVOTDATA("Sum of Male",'h9'!$A$3,"Type","Control","PostConv","Crew Manager")</f>
        <v>6</v>
      </c>
      <c r="D30" s="452">
        <f>GETPIVOTDATA("Sum of Total",'h9'!$A$3,"Type","Control","PostConv","Crew Manager")</f>
        <v>27</v>
      </c>
      <c r="E30" s="148">
        <f t="shared" si="2"/>
        <v>0.77777777777777779</v>
      </c>
      <c r="F30" s="148">
        <f t="shared" si="3"/>
        <v>0.22222222222222221</v>
      </c>
    </row>
    <row r="31" spans="1:6" x14ac:dyDescent="0.25">
      <c r="A31" s="145" t="s">
        <v>83</v>
      </c>
      <c r="B31" s="450">
        <f>GETPIVOTDATA("Sum of Female",'h9'!$A$3,"Type","Control","PostConv","Firefighter")</f>
        <v>98.33</v>
      </c>
      <c r="C31" s="450">
        <f>GETPIVOTDATA("Sum of Male",'h9'!$A$3,"Type","Control","PostConv","Firefighter")</f>
        <v>21</v>
      </c>
      <c r="D31" s="452">
        <f>GETPIVOTDATA("Sum of Total",'h9'!$A$3,"Type","Control","PostConv","Firefighter")</f>
        <v>119.33</v>
      </c>
      <c r="E31" s="148">
        <f t="shared" si="2"/>
        <v>0.82401743065448751</v>
      </c>
      <c r="F31" s="148">
        <f t="shared" si="3"/>
        <v>0.17598256934551246</v>
      </c>
    </row>
    <row r="32" spans="1:6" ht="15.75" thickBot="1" x14ac:dyDescent="0.3">
      <c r="A32" s="164" t="s">
        <v>99</v>
      </c>
      <c r="B32" s="448">
        <f>GETPIVOTDATA("Sum of Female",'h9'!$A$3,"Type","Control")</f>
        <v>167.32999999999998</v>
      </c>
      <c r="C32" s="448">
        <f>GETPIVOTDATA("Sum of Male",'h9'!$A$3,"Type","Control")</f>
        <v>35</v>
      </c>
      <c r="D32" s="454">
        <f>GETPIVOTDATA("Sum of Total",'h9'!$A$3,"Type","Control")</f>
        <v>202.32999999999998</v>
      </c>
      <c r="E32" s="155">
        <f t="shared" si="2"/>
        <v>0.82701527208026493</v>
      </c>
      <c r="F32" s="155">
        <f t="shared" si="3"/>
        <v>0.1729847279197351</v>
      </c>
    </row>
    <row r="33" spans="1:9" x14ac:dyDescent="0.25">
      <c r="A33" s="146"/>
      <c r="B33" s="215"/>
      <c r="C33" s="216"/>
      <c r="D33" s="452"/>
      <c r="E33" s="158"/>
      <c r="F33" s="158"/>
    </row>
    <row r="34" spans="1:9" x14ac:dyDescent="0.25">
      <c r="A34" s="176" t="s">
        <v>93</v>
      </c>
      <c r="B34" s="217"/>
      <c r="C34" s="216"/>
      <c r="D34" s="452"/>
      <c r="E34" s="158"/>
      <c r="F34" s="158"/>
    </row>
    <row r="35" spans="1:9" x14ac:dyDescent="0.25">
      <c r="A35" s="429" t="s">
        <v>213</v>
      </c>
      <c r="B35" s="449">
        <f>GETPIVOTDATA("Sum of Female",'h9'!$A$3,"Type","Support","PostConv","Director")</f>
        <v>2</v>
      </c>
      <c r="C35" s="449">
        <f>GETPIVOTDATA("Sum of Male",'h9'!$A$3,"Type","Support","PostConv","Director")</f>
        <v>1</v>
      </c>
      <c r="D35" s="451">
        <f>GETPIVOTDATA("Sum of Total",'h9'!$A$3,"Type","Support","PostConv","Director")</f>
        <v>3</v>
      </c>
      <c r="E35" s="423">
        <f>IFERROR(B35/(B35+C35),0)</f>
        <v>0.66666666666666663</v>
      </c>
      <c r="F35" s="423">
        <f>IFERROR(C35/(B35+C35),0)</f>
        <v>0.33333333333333331</v>
      </c>
    </row>
    <row r="36" spans="1:9" x14ac:dyDescent="0.25">
      <c r="A36" s="145" t="s">
        <v>84</v>
      </c>
      <c r="B36" s="216">
        <f>GETPIVOTDATA("Sum of Female",'h9'!$A$3,"Type","Support","PostConv","Service Manager")</f>
        <v>15</v>
      </c>
      <c r="C36" s="216">
        <f>GETPIVOTDATA("Sum of Male",'h9'!$A$3,"Type","Support","PostConv","Service Manager")</f>
        <v>34</v>
      </c>
      <c r="D36" s="452">
        <f>GETPIVOTDATA("Sum of Total",'h9'!$A$3,"Type","Support","PostConv","Service Manager")</f>
        <v>49</v>
      </c>
      <c r="E36" s="148">
        <f t="shared" ref="E36:E41" si="4">B36/(B36+C36)</f>
        <v>0.30612244897959184</v>
      </c>
      <c r="F36" s="148">
        <f t="shared" ref="F36:F41" si="5">C36/(B36+C36)</f>
        <v>0.69387755102040816</v>
      </c>
    </row>
    <row r="37" spans="1:9" x14ac:dyDescent="0.25">
      <c r="A37" s="145" t="s">
        <v>90</v>
      </c>
      <c r="B37" s="216">
        <f>GETPIVOTDATA("Sum of Female",'h9'!$A$3,"Type","Support","PostConv","Team Leader")</f>
        <v>21</v>
      </c>
      <c r="C37" s="216">
        <f>GETPIVOTDATA("Sum of Male",'h9'!$A$3,"Type","Support","PostConv","Team Leader")</f>
        <v>13</v>
      </c>
      <c r="D37" s="452">
        <f>GETPIVOTDATA("Sum of Total",'h9'!$A$3,"Type","Support","PostConv","Team Leader")</f>
        <v>34</v>
      </c>
      <c r="E37" s="148">
        <f t="shared" si="4"/>
        <v>0.61764705882352944</v>
      </c>
      <c r="F37" s="148">
        <f t="shared" si="5"/>
        <v>0.38235294117647056</v>
      </c>
    </row>
    <row r="38" spans="1:9" x14ac:dyDescent="0.25">
      <c r="A38" s="145" t="s">
        <v>86</v>
      </c>
      <c r="B38" s="216">
        <f>GETPIVOTDATA("Sum of Female",'h9'!$A$3,"Type","Support","PostConv","Professional")</f>
        <v>55.4</v>
      </c>
      <c r="C38" s="216">
        <f>GETPIVOTDATA("Sum of Male",'h9'!$A$3,"Type","Support","PostConv","Professional")</f>
        <v>25</v>
      </c>
      <c r="D38" s="452">
        <f>GETPIVOTDATA("Sum of Total",'h9'!$A$3,"Type","Support","PostConv","Professional")</f>
        <v>80.400000000000006</v>
      </c>
      <c r="E38" s="148">
        <f t="shared" si="4"/>
        <v>0.68905472636815912</v>
      </c>
      <c r="F38" s="148">
        <f t="shared" si="5"/>
        <v>0.31094527363184077</v>
      </c>
    </row>
    <row r="39" spans="1:9" x14ac:dyDescent="0.25">
      <c r="A39" s="145" t="s">
        <v>100</v>
      </c>
      <c r="B39" s="216">
        <f>GETPIVOTDATA("Sum of Female",'h9'!$A$3,"Type","Support","PostConv","Specialist Technical")</f>
        <v>139.56</v>
      </c>
      <c r="C39" s="216">
        <f>GETPIVOTDATA("Sum of Male",'h9'!$A$3,"Type","Support","PostConv","Specialist Technical")</f>
        <v>236</v>
      </c>
      <c r="D39" s="452">
        <f>GETPIVOTDATA("Sum of Total",'h9'!$A$3,"Type","Support","PostConv","Specialist Technical")</f>
        <v>375.56</v>
      </c>
      <c r="E39" s="148">
        <f t="shared" si="4"/>
        <v>0.37160506976248803</v>
      </c>
      <c r="F39" s="148">
        <f t="shared" si="5"/>
        <v>0.62839493023751203</v>
      </c>
    </row>
    <row r="40" spans="1:9" x14ac:dyDescent="0.25">
      <c r="A40" s="145" t="s">
        <v>88</v>
      </c>
      <c r="B40" s="215">
        <f>GETPIVOTDATA("Sum of Female",'h9'!$A$3,"Type","Support","PostConv","Tech Support")</f>
        <v>21.26</v>
      </c>
      <c r="C40" s="215">
        <f>GETPIVOTDATA("Sum of Male",'h9'!$A$3,"Type","Support","PostConv","Tech Support")</f>
        <v>37.35</v>
      </c>
      <c r="D40" s="452">
        <f>GETPIVOTDATA("Sum of Total",'h9'!$A$3,"Type","Support","PostConv","Tech Support")</f>
        <v>58.61</v>
      </c>
      <c r="E40" s="148">
        <f t="shared" si="4"/>
        <v>0.36273673434567483</v>
      </c>
      <c r="F40" s="148">
        <f t="shared" si="5"/>
        <v>0.63726326565432523</v>
      </c>
    </row>
    <row r="41" spans="1:9" x14ac:dyDescent="0.25">
      <c r="A41" s="145" t="s">
        <v>101</v>
      </c>
      <c r="B41" s="215">
        <f>GETPIVOTDATA("Sum of Female",'h9'!$A$3,"Type","Support","PostConv","Administration")</f>
        <v>134.44</v>
      </c>
      <c r="C41" s="215">
        <f>GETPIVOTDATA("Sum of Male",'h9'!$A$3,"Type","Support","PostConv","Administration")</f>
        <v>10.55</v>
      </c>
      <c r="D41" s="452">
        <f>GETPIVOTDATA("Sum of Total",'h9'!$A$3,"Type","Support","PostConv","Administration")</f>
        <v>144.99</v>
      </c>
      <c r="E41" s="148">
        <f t="shared" si="4"/>
        <v>0.92723636112835361</v>
      </c>
      <c r="F41" s="148">
        <f t="shared" si="5"/>
        <v>7.2763638871646316E-2</v>
      </c>
    </row>
    <row r="42" spans="1:9" ht="15.75" thickBot="1" x14ac:dyDescent="0.3">
      <c r="A42" s="164" t="s">
        <v>102</v>
      </c>
      <c r="B42" s="448">
        <f>GETPIVOTDATA("Sum of Female",'h9'!$A$3,"Type","Support")</f>
        <v>388.65999999999997</v>
      </c>
      <c r="C42" s="448">
        <f>GETPIVOTDATA("Sum of Male",'h9'!$A$3,"Type","Support")</f>
        <v>356.90000000000003</v>
      </c>
      <c r="D42" s="454">
        <f>GETPIVOTDATA("Sum of Total",'h9'!$A$3,"Type","Support")</f>
        <v>745.56000000000006</v>
      </c>
      <c r="E42" s="155">
        <f>B42/(B42+C42)</f>
        <v>0.52129942593486778</v>
      </c>
      <c r="F42" s="155">
        <f>C42/(B42+C42)</f>
        <v>0.47870057406513233</v>
      </c>
    </row>
    <row r="43" spans="1:9" x14ac:dyDescent="0.25">
      <c r="A43" s="160"/>
      <c r="B43" s="219"/>
      <c r="C43" s="216"/>
      <c r="D43" s="452"/>
      <c r="E43" s="214"/>
      <c r="F43" s="214"/>
    </row>
    <row r="44" spans="1:9" ht="15.75" thickBot="1" x14ac:dyDescent="0.3">
      <c r="A44" s="174" t="s">
        <v>104</v>
      </c>
      <c r="B44" s="218">
        <f>GETPIVOTDATA("Sum of Female",'h9'!$A$3,"Type","Control")+GETPIVOTDATA("Sum of Female",'h9'!$A$3,"Type","RDS")+GETPIVOTDATA("Sum of Female",'h9'!$A$3,"Type","Support")+GETPIVOTDATA("Sum of Female",'h9'!$A$3,"Type","WT")</f>
        <v>931.81999999999994</v>
      </c>
      <c r="C44" s="218">
        <f>GETPIVOTDATA("Sum of Male",'h9'!$A$3,"Type","Control")+GETPIVOTDATA("Sum of Male",'h9'!$A$3,"Type","RDS")+GETPIVOTDATA("Sum of Male",'h9'!$A$3,"Type","Support")+GETPIVOTDATA("Sum of Male",'h9'!$A$3,"Type","WT")</f>
        <v>6262.98</v>
      </c>
      <c r="D44" s="455">
        <f>GETPIVOTDATA("Sum of Total",'h9'!$A$3)</f>
        <v>7194.8000000000011</v>
      </c>
      <c r="E44" s="155">
        <f>B44/(B44+C44)</f>
        <v>0.12951298159782065</v>
      </c>
      <c r="F44" s="155">
        <f>C44/(B44+C44)</f>
        <v>0.87048701840217935</v>
      </c>
    </row>
    <row r="45" spans="1:9" x14ac:dyDescent="0.25">
      <c r="A45" s="31"/>
      <c r="B45" s="31"/>
      <c r="C45" s="31"/>
      <c r="D45" s="31"/>
      <c r="E45" s="31"/>
      <c r="F45" s="31"/>
    </row>
    <row r="46" spans="1:9" x14ac:dyDescent="0.25">
      <c r="A46" s="500" t="s">
        <v>8</v>
      </c>
      <c r="B46" s="501"/>
      <c r="C46" s="501"/>
      <c r="D46" s="501"/>
      <c r="E46" s="501"/>
      <c r="F46" s="501"/>
    </row>
    <row r="47" spans="1:9" ht="45.75" customHeight="1" x14ac:dyDescent="0.25">
      <c r="A47" s="1005" t="s">
        <v>232</v>
      </c>
      <c r="B47" s="1005"/>
      <c r="C47" s="1005"/>
      <c r="D47" s="1005"/>
      <c r="E47" s="1005"/>
      <c r="F47" s="1005"/>
      <c r="G47" s="1005"/>
      <c r="H47" s="1005"/>
      <c r="I47" s="1005"/>
    </row>
    <row r="48" spans="1:9" x14ac:dyDescent="0.25">
      <c r="A48" s="681" t="s">
        <v>233</v>
      </c>
      <c r="H48" s="509"/>
    </row>
    <row r="49" spans="1:17" x14ac:dyDescent="0.25">
      <c r="A49" s="1016" t="s">
        <v>234</v>
      </c>
      <c r="B49" s="1016"/>
      <c r="C49" s="1016"/>
      <c r="D49" s="1016"/>
      <c r="E49" s="1016"/>
      <c r="F49" s="1016"/>
      <c r="H49" s="509"/>
    </row>
    <row r="50" spans="1:17" x14ac:dyDescent="0.25">
      <c r="A50" s="976" t="s">
        <v>838</v>
      </c>
      <c r="H50" s="509"/>
    </row>
    <row r="51" spans="1:17" ht="15" customHeight="1" x14ac:dyDescent="0.25">
      <c r="A51" s="695" t="s">
        <v>230</v>
      </c>
      <c r="H51" s="556"/>
    </row>
    <row r="52" spans="1:17" ht="15" customHeight="1" x14ac:dyDescent="0.25">
      <c r="A52" s="548" t="s">
        <v>231</v>
      </c>
      <c r="H52" s="681"/>
    </row>
    <row r="53" spans="1:17" ht="15" customHeight="1" x14ac:dyDescent="0.25">
      <c r="A53" s="738" t="s">
        <v>229</v>
      </c>
      <c r="B53" s="738"/>
      <c r="C53" s="738"/>
      <c r="D53" s="738"/>
      <c r="E53" s="738"/>
      <c r="F53" s="738"/>
      <c r="H53" s="695"/>
    </row>
    <row r="54" spans="1:17" x14ac:dyDescent="0.25">
      <c r="H54" s="548"/>
    </row>
    <row r="55" spans="1:17" ht="15" customHeight="1" x14ac:dyDescent="0.25">
      <c r="H55" s="738"/>
      <c r="I55" s="738"/>
      <c r="J55" s="738"/>
      <c r="K55" s="738"/>
      <c r="L55" s="738"/>
      <c r="M55" s="738"/>
      <c r="N55" s="738"/>
      <c r="O55" s="738"/>
      <c r="P55" s="738"/>
      <c r="Q55" s="738"/>
    </row>
    <row r="56" spans="1:17" x14ac:dyDescent="0.25">
      <c r="A56" s="1005"/>
      <c r="B56" s="1005"/>
      <c r="C56" s="1005"/>
      <c r="D56" s="1005"/>
      <c r="E56" s="1005"/>
      <c r="F56" s="1005"/>
      <c r="G56" s="1005"/>
      <c r="H56" s="501"/>
    </row>
    <row r="57" spans="1:17" x14ac:dyDescent="0.25">
      <c r="A57" s="1015"/>
      <c r="B57" s="1015"/>
      <c r="C57" s="1015"/>
      <c r="D57" s="1015"/>
      <c r="E57" s="1015"/>
      <c r="F57" s="1015"/>
      <c r="G57" s="501"/>
    </row>
    <row r="58" spans="1:17" x14ac:dyDescent="0.25">
      <c r="G58" s="501"/>
    </row>
  </sheetData>
  <sheetProtection algorithmName="SHA-512" hashValue="V3vphWlYnA6HUBzqhniweKNdZ/KB/realV38r75SexeTDLprG/FeiUZs6rCjlM8KaqQfpPX88suNTu+CPU+76g==" saltValue="6MdF8OfE3CPvrOr990DeeQ==" spinCount="100000" sheet="1" scenarios="1" pivotTables="0"/>
  <mergeCells count="5">
    <mergeCell ref="A4:F4"/>
    <mergeCell ref="A56:G56"/>
    <mergeCell ref="A57:F57"/>
    <mergeCell ref="A49:F49"/>
    <mergeCell ref="A47:I47"/>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9" orientation="portrait" r:id="rId1"/>
  <drawing r:id="rId2"/>
  <extLst>
    <ext xmlns:x14="http://schemas.microsoft.com/office/spreadsheetml/2009/9/main" uri="{A8765BA9-456A-4dab-B4F3-ACF838C121DE}">
      <x14:slicerList>
        <x14:slicer r:id="rId3"/>
      </x14:slicerList>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9" tint="0.39997558519241921"/>
  </sheetPr>
  <dimension ref="A1:D31"/>
  <sheetViews>
    <sheetView workbookViewId="0">
      <selection activeCell="I22" sqref="I22"/>
    </sheetView>
  </sheetViews>
  <sheetFormatPr defaultRowHeight="15" x14ac:dyDescent="0.25"/>
  <cols>
    <col min="1" max="1" width="22.140625" bestFit="1" customWidth="1"/>
    <col min="2" max="2" width="14.28515625" bestFit="1" customWidth="1"/>
    <col min="3" max="3" width="12.140625" bestFit="1" customWidth="1"/>
    <col min="4" max="4" width="12" bestFit="1" customWidth="1"/>
  </cols>
  <sheetData>
    <row r="1" spans="1:4" x14ac:dyDescent="0.25">
      <c r="A1" s="569" t="s">
        <v>274</v>
      </c>
      <c r="B1" t="s">
        <v>258</v>
      </c>
    </row>
    <row r="3" spans="1:4" x14ac:dyDescent="0.25">
      <c r="A3" s="569" t="s">
        <v>250</v>
      </c>
      <c r="B3" t="s">
        <v>324</v>
      </c>
      <c r="C3" t="s">
        <v>325</v>
      </c>
      <c r="D3" t="s">
        <v>256</v>
      </c>
    </row>
    <row r="4" spans="1:4" x14ac:dyDescent="0.25">
      <c r="A4" s="986" t="s">
        <v>2</v>
      </c>
      <c r="B4" s="571">
        <v>167.32999999999998</v>
      </c>
      <c r="C4" s="571">
        <v>35</v>
      </c>
      <c r="D4" s="571">
        <v>202.32999999999998</v>
      </c>
    </row>
    <row r="5" spans="1:4" x14ac:dyDescent="0.25">
      <c r="A5" s="573" t="s">
        <v>18</v>
      </c>
      <c r="B5" s="571">
        <v>1</v>
      </c>
      <c r="C5" s="571"/>
      <c r="D5" s="571">
        <v>1</v>
      </c>
    </row>
    <row r="6" spans="1:4" x14ac:dyDescent="0.25">
      <c r="A6" s="573" t="s">
        <v>22</v>
      </c>
      <c r="B6" s="571">
        <v>21</v>
      </c>
      <c r="C6" s="571">
        <v>6</v>
      </c>
      <c r="D6" s="571">
        <v>27</v>
      </c>
    </row>
    <row r="7" spans="1:4" x14ac:dyDescent="0.25">
      <c r="A7" s="573" t="s">
        <v>23</v>
      </c>
      <c r="B7" s="571">
        <v>98.33</v>
      </c>
      <c r="C7" s="571">
        <v>21</v>
      </c>
      <c r="D7" s="571">
        <v>119.33</v>
      </c>
    </row>
    <row r="8" spans="1:4" x14ac:dyDescent="0.25">
      <c r="A8" s="573" t="s">
        <v>19</v>
      </c>
      <c r="B8" s="571">
        <v>3</v>
      </c>
      <c r="C8" s="571">
        <v>1</v>
      </c>
      <c r="D8" s="571">
        <v>4</v>
      </c>
    </row>
    <row r="9" spans="1:4" x14ac:dyDescent="0.25">
      <c r="A9" s="573" t="s">
        <v>20</v>
      </c>
      <c r="B9" s="571">
        <v>8</v>
      </c>
      <c r="C9" s="571">
        <v>1</v>
      </c>
      <c r="D9" s="571">
        <v>9</v>
      </c>
    </row>
    <row r="10" spans="1:4" x14ac:dyDescent="0.25">
      <c r="A10" s="573" t="s">
        <v>21</v>
      </c>
      <c r="B10" s="571">
        <v>36</v>
      </c>
      <c r="C10" s="571">
        <v>6</v>
      </c>
      <c r="D10" s="571">
        <v>42</v>
      </c>
    </row>
    <row r="11" spans="1:4" x14ac:dyDescent="0.25">
      <c r="A11" s="986" t="s">
        <v>9</v>
      </c>
      <c r="B11" s="571">
        <v>180.9</v>
      </c>
      <c r="C11" s="571">
        <v>2430.08</v>
      </c>
      <c r="D11" s="571">
        <v>2610.98</v>
      </c>
    </row>
    <row r="12" spans="1:4" x14ac:dyDescent="0.25">
      <c r="A12" s="573" t="s">
        <v>22</v>
      </c>
      <c r="B12" s="571">
        <v>19</v>
      </c>
      <c r="C12" s="571">
        <v>459.93</v>
      </c>
      <c r="D12" s="571">
        <v>478.93</v>
      </c>
    </row>
    <row r="13" spans="1:4" x14ac:dyDescent="0.25">
      <c r="A13" s="573" t="s">
        <v>23</v>
      </c>
      <c r="B13" s="571">
        <v>148.4</v>
      </c>
      <c r="C13" s="571">
        <v>1715.4</v>
      </c>
      <c r="D13" s="571">
        <v>1863.8</v>
      </c>
    </row>
    <row r="14" spans="1:4" x14ac:dyDescent="0.25">
      <c r="A14" s="573" t="s">
        <v>21</v>
      </c>
      <c r="B14" s="571">
        <v>13.5</v>
      </c>
      <c r="C14" s="571">
        <v>254.75</v>
      </c>
      <c r="D14" s="571">
        <v>268.25</v>
      </c>
    </row>
    <row r="15" spans="1:4" x14ac:dyDescent="0.25">
      <c r="A15" s="986" t="s">
        <v>3</v>
      </c>
      <c r="B15" s="571">
        <v>388.65999999999997</v>
      </c>
      <c r="C15" s="571">
        <v>356.90000000000003</v>
      </c>
      <c r="D15" s="571">
        <v>745.56000000000006</v>
      </c>
    </row>
    <row r="16" spans="1:4" x14ac:dyDescent="0.25">
      <c r="A16" s="573" t="s">
        <v>101</v>
      </c>
      <c r="B16" s="571">
        <v>134.44</v>
      </c>
      <c r="C16" s="571">
        <v>10.55</v>
      </c>
      <c r="D16" s="571">
        <v>144.99</v>
      </c>
    </row>
    <row r="17" spans="1:4" x14ac:dyDescent="0.25">
      <c r="A17" s="573" t="s">
        <v>213</v>
      </c>
      <c r="B17" s="571">
        <v>2</v>
      </c>
      <c r="C17" s="571">
        <v>1</v>
      </c>
      <c r="D17" s="571">
        <v>3</v>
      </c>
    </row>
    <row r="18" spans="1:4" x14ac:dyDescent="0.25">
      <c r="A18" s="573" t="s">
        <v>86</v>
      </c>
      <c r="B18" s="571">
        <v>55.4</v>
      </c>
      <c r="C18" s="571">
        <v>25</v>
      </c>
      <c r="D18" s="571">
        <v>80.400000000000006</v>
      </c>
    </row>
    <row r="19" spans="1:4" x14ac:dyDescent="0.25">
      <c r="A19" s="573" t="s">
        <v>84</v>
      </c>
      <c r="B19" s="571">
        <v>15</v>
      </c>
      <c r="C19" s="571">
        <v>34</v>
      </c>
      <c r="D19" s="571">
        <v>49</v>
      </c>
    </row>
    <row r="20" spans="1:4" x14ac:dyDescent="0.25">
      <c r="A20" s="573" t="s">
        <v>322</v>
      </c>
      <c r="B20" s="571">
        <v>139.56</v>
      </c>
      <c r="C20" s="571">
        <v>236</v>
      </c>
      <c r="D20" s="571">
        <v>375.56</v>
      </c>
    </row>
    <row r="21" spans="1:4" x14ac:dyDescent="0.25">
      <c r="A21" s="573" t="s">
        <v>90</v>
      </c>
      <c r="B21" s="571">
        <v>21</v>
      </c>
      <c r="C21" s="571">
        <v>13</v>
      </c>
      <c r="D21" s="571">
        <v>34</v>
      </c>
    </row>
    <row r="22" spans="1:4" x14ac:dyDescent="0.25">
      <c r="A22" s="573" t="s">
        <v>323</v>
      </c>
      <c r="B22" s="571">
        <v>21.26</v>
      </c>
      <c r="C22" s="571">
        <v>37.35</v>
      </c>
      <c r="D22" s="571">
        <v>58.61</v>
      </c>
    </row>
    <row r="23" spans="1:4" x14ac:dyDescent="0.25">
      <c r="A23" s="986" t="s">
        <v>321</v>
      </c>
      <c r="B23" s="571">
        <v>194.93</v>
      </c>
      <c r="C23" s="571">
        <v>3441</v>
      </c>
      <c r="D23" s="571">
        <v>3635.93</v>
      </c>
    </row>
    <row r="24" spans="1:4" x14ac:dyDescent="0.25">
      <c r="A24" s="573" t="s">
        <v>18</v>
      </c>
      <c r="B24" s="571"/>
      <c r="C24" s="571">
        <v>33</v>
      </c>
      <c r="D24" s="571">
        <v>33</v>
      </c>
    </row>
    <row r="25" spans="1:4" x14ac:dyDescent="0.25">
      <c r="A25" s="573" t="s">
        <v>212</v>
      </c>
      <c r="B25" s="571"/>
      <c r="C25" s="571">
        <v>4</v>
      </c>
      <c r="D25" s="571">
        <v>4</v>
      </c>
    </row>
    <row r="26" spans="1:4" x14ac:dyDescent="0.25">
      <c r="A26" s="573" t="s">
        <v>22</v>
      </c>
      <c r="B26" s="571">
        <v>27</v>
      </c>
      <c r="C26" s="571">
        <v>660</v>
      </c>
      <c r="D26" s="571">
        <v>687</v>
      </c>
    </row>
    <row r="27" spans="1:4" x14ac:dyDescent="0.25">
      <c r="A27" s="573" t="s">
        <v>23</v>
      </c>
      <c r="B27" s="571">
        <v>130.93</v>
      </c>
      <c r="C27" s="571">
        <v>1943</v>
      </c>
      <c r="D27" s="571">
        <v>2073.9299999999998</v>
      </c>
    </row>
    <row r="28" spans="1:4" x14ac:dyDescent="0.25">
      <c r="A28" s="573" t="s">
        <v>19</v>
      </c>
      <c r="B28" s="571">
        <v>2</v>
      </c>
      <c r="C28" s="571">
        <v>78</v>
      </c>
      <c r="D28" s="571">
        <v>80</v>
      </c>
    </row>
    <row r="29" spans="1:4" x14ac:dyDescent="0.25">
      <c r="A29" s="573" t="s">
        <v>20</v>
      </c>
      <c r="B29" s="571">
        <v>2</v>
      </c>
      <c r="C29" s="571">
        <v>145</v>
      </c>
      <c r="D29" s="571">
        <v>147</v>
      </c>
    </row>
    <row r="30" spans="1:4" x14ac:dyDescent="0.25">
      <c r="A30" s="573" t="s">
        <v>21</v>
      </c>
      <c r="B30" s="571">
        <v>33</v>
      </c>
      <c r="C30" s="571">
        <v>578</v>
      </c>
      <c r="D30" s="571">
        <v>611</v>
      </c>
    </row>
    <row r="31" spans="1:4" x14ac:dyDescent="0.25">
      <c r="A31" s="986" t="s">
        <v>255</v>
      </c>
      <c r="B31" s="571">
        <v>931.82000000000016</v>
      </c>
      <c r="C31" s="571">
        <v>6262.98</v>
      </c>
      <c r="D31" s="571">
        <v>7194.8000000000011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39997558519241921"/>
    <pageSetUpPr fitToPage="1"/>
  </sheetPr>
  <dimension ref="A1:P49"/>
  <sheetViews>
    <sheetView showGridLines="0" workbookViewId="0">
      <pane ySplit="2" topLeftCell="A3" activePane="bottomLeft" state="frozen"/>
      <selection sqref="A1:C1"/>
      <selection pane="bottomLeft" sqref="A1:C1"/>
    </sheetView>
  </sheetViews>
  <sheetFormatPr defaultRowHeight="15" x14ac:dyDescent="0.25"/>
  <cols>
    <col min="1" max="1" width="18.7109375" customWidth="1"/>
    <col min="2" max="8" width="13" customWidth="1"/>
  </cols>
  <sheetData>
    <row r="1" spans="1:16" ht="15.75" x14ac:dyDescent="0.25">
      <c r="A1" s="993" t="s">
        <v>523</v>
      </c>
      <c r="B1" s="993"/>
      <c r="C1" s="993"/>
      <c r="D1" s="194"/>
      <c r="E1" s="194"/>
      <c r="F1" s="194"/>
      <c r="G1" s="31"/>
      <c r="H1" s="31"/>
    </row>
    <row r="2" spans="1:16" x14ac:dyDescent="0.25">
      <c r="A2" s="790" t="s">
        <v>598</v>
      </c>
      <c r="D2" s="194"/>
      <c r="E2" s="194"/>
      <c r="F2" s="194"/>
      <c r="G2" s="31"/>
      <c r="H2" s="31"/>
    </row>
    <row r="3" spans="1:16" x14ac:dyDescent="0.25">
      <c r="A3" s="31"/>
      <c r="B3" s="31"/>
      <c r="C3" s="31"/>
      <c r="D3" s="194"/>
      <c r="E3" s="194"/>
      <c r="F3" s="194"/>
      <c r="G3" s="31"/>
      <c r="H3" s="31"/>
    </row>
    <row r="4" spans="1:16" ht="18.75" customHeight="1" x14ac:dyDescent="0.25">
      <c r="A4" s="1004" t="s">
        <v>544</v>
      </c>
      <c r="B4" s="1004"/>
      <c r="C4" s="1004"/>
      <c r="D4" s="1004"/>
      <c r="E4" s="1004"/>
      <c r="F4" s="1004"/>
      <c r="G4" s="1004"/>
      <c r="H4" s="1004"/>
    </row>
    <row r="5" spans="1:16" ht="15" customHeight="1" x14ac:dyDescent="0.25">
      <c r="A5" t="s">
        <v>368</v>
      </c>
      <c r="B5" t="s">
        <v>787</v>
      </c>
      <c r="C5" s="631"/>
      <c r="D5" s="631"/>
      <c r="E5" s="631"/>
      <c r="F5" s="631"/>
      <c r="G5" s="631"/>
      <c r="H5" s="631"/>
    </row>
    <row r="6" spans="1:16" ht="15" customHeight="1" x14ac:dyDescent="0.25">
      <c r="A6" t="s">
        <v>369</v>
      </c>
      <c r="B6" t="s">
        <v>371</v>
      </c>
      <c r="C6" s="631"/>
      <c r="D6" s="631"/>
      <c r="E6" s="631"/>
      <c r="F6" s="631"/>
      <c r="G6" s="631"/>
      <c r="H6" s="631"/>
    </row>
    <row r="7" spans="1:16" ht="15" customHeight="1" x14ac:dyDescent="0.25">
      <c r="A7" t="s">
        <v>370</v>
      </c>
      <c r="B7" t="s">
        <v>372</v>
      </c>
      <c r="C7" s="631"/>
      <c r="D7" s="631"/>
      <c r="E7" s="631"/>
      <c r="F7" s="631"/>
      <c r="G7" s="631"/>
      <c r="H7" s="631"/>
    </row>
    <row r="8" spans="1:16" ht="39" x14ac:dyDescent="0.25">
      <c r="A8" s="19" t="s">
        <v>214</v>
      </c>
      <c r="B8" s="3" t="s">
        <v>92</v>
      </c>
      <c r="C8" s="195" t="s">
        <v>28</v>
      </c>
      <c r="D8" s="3" t="s">
        <v>2</v>
      </c>
      <c r="E8" s="3" t="s">
        <v>93</v>
      </c>
      <c r="F8" s="195" t="s">
        <v>29</v>
      </c>
      <c r="G8" s="3" t="s">
        <v>107</v>
      </c>
      <c r="H8" s="3" t="s">
        <v>105</v>
      </c>
    </row>
    <row r="9" spans="1:16" x14ac:dyDescent="0.25">
      <c r="A9" s="196" t="s">
        <v>606</v>
      </c>
      <c r="B9" s="805">
        <f>IF('h10'!$B$2 = "2013-14", 'h10'!B12, 'h10'!B$16)</f>
        <v>0</v>
      </c>
      <c r="C9" s="805">
        <f>IF('h10'!$B$2 = "2013-14", 'h10'!C12, 'h10'!C$16)</f>
        <v>4</v>
      </c>
      <c r="D9" s="805">
        <f>IF('h10'!$B$2 = "2013-14", 'h10'!D12, 'h10'!D$16)</f>
        <v>0</v>
      </c>
      <c r="E9" s="805">
        <f>IF('h10'!$B$2 = "2013-14", 'h10'!E12, 'h10'!E$16)</f>
        <v>2</v>
      </c>
      <c r="F9" s="805">
        <f>IF('h10'!$B$2 = "2013-14", 'h10'!F12, 'h10'!F$16)</f>
        <v>0</v>
      </c>
      <c r="G9" s="197">
        <f>SUM(B9:F9)</f>
        <v>6</v>
      </c>
      <c r="H9" s="806">
        <f t="shared" ref="H9:H20" si="0">G9-F9</f>
        <v>6</v>
      </c>
    </row>
    <row r="10" spans="1:16" x14ac:dyDescent="0.25">
      <c r="A10" s="198" t="str">
        <f>IF('h10'!B2 = "2013-14", 'h10'!A5, "20-24")</f>
        <v>20-24</v>
      </c>
      <c r="B10" s="805">
        <f>'h10'!B5</f>
        <v>47</v>
      </c>
      <c r="C10" s="805">
        <f>'h10'!C5</f>
        <v>140</v>
      </c>
      <c r="D10" s="805">
        <f>'h10'!D5</f>
        <v>12</v>
      </c>
      <c r="E10" s="805">
        <f>'h10'!E5</f>
        <v>18</v>
      </c>
      <c r="F10" s="805">
        <f>'h10'!F5</f>
        <v>13</v>
      </c>
      <c r="G10" s="197">
        <f t="shared" ref="G10:G20" si="1">SUM(B10:F10)</f>
        <v>230</v>
      </c>
      <c r="H10" s="806">
        <f t="shared" si="0"/>
        <v>217</v>
      </c>
      <c r="I10" s="625"/>
    </row>
    <row r="11" spans="1:16" x14ac:dyDescent="0.25">
      <c r="A11" s="198" t="str">
        <f>IF('h10'!B2 = "2013-14", 'h10'!A6, "25-29")</f>
        <v>25-29</v>
      </c>
      <c r="B11" s="805">
        <f>'h10'!B6</f>
        <v>214</v>
      </c>
      <c r="C11" s="805">
        <f>'h10'!C6</f>
        <v>309</v>
      </c>
      <c r="D11" s="805">
        <f>'h10'!D6</f>
        <v>25</v>
      </c>
      <c r="E11" s="805">
        <f>'h10'!E6</f>
        <v>40</v>
      </c>
      <c r="F11" s="805">
        <f>'h10'!F6</f>
        <v>19</v>
      </c>
      <c r="G11" s="197">
        <f t="shared" si="1"/>
        <v>607</v>
      </c>
      <c r="H11" s="806">
        <f t="shared" si="0"/>
        <v>588</v>
      </c>
      <c r="I11" s="625"/>
      <c r="J11" s="625"/>
      <c r="K11" s="625"/>
      <c r="L11" s="625"/>
      <c r="M11" s="625"/>
      <c r="N11" s="625"/>
      <c r="O11" s="625"/>
      <c r="P11" s="625"/>
    </row>
    <row r="12" spans="1:16" x14ac:dyDescent="0.25">
      <c r="A12" s="198" t="str">
        <f>IF('h10'!B2 = "2013-14", 'h10'!A7, "30-34")</f>
        <v>30-34</v>
      </c>
      <c r="B12" s="805">
        <f>'h10'!B7</f>
        <v>339</v>
      </c>
      <c r="C12" s="805">
        <f>'h10'!C7</f>
        <v>374</v>
      </c>
      <c r="D12" s="805">
        <f>'h10'!D7</f>
        <v>36</v>
      </c>
      <c r="E12" s="805">
        <f>'h10'!E7</f>
        <v>61</v>
      </c>
      <c r="F12" s="805">
        <f>'h10'!F7</f>
        <v>28</v>
      </c>
      <c r="G12" s="197">
        <f t="shared" si="1"/>
        <v>838</v>
      </c>
      <c r="H12" s="806">
        <f t="shared" si="0"/>
        <v>810</v>
      </c>
      <c r="I12" s="625"/>
      <c r="J12" s="625"/>
      <c r="K12" s="625"/>
      <c r="L12" s="625"/>
      <c r="M12" s="625"/>
      <c r="N12" s="625"/>
      <c r="O12" s="625"/>
      <c r="P12" s="625"/>
    </row>
    <row r="13" spans="1:16" x14ac:dyDescent="0.25">
      <c r="A13" s="198" t="str">
        <f>IF('h10'!B2="2013-14",'h10'!A8,"35-39")</f>
        <v>35-39</v>
      </c>
      <c r="B13" s="805">
        <f>'h10'!B8</f>
        <v>595</v>
      </c>
      <c r="C13" s="805">
        <f>'h10'!C8</f>
        <v>385</v>
      </c>
      <c r="D13" s="805">
        <f>'h10'!D8</f>
        <v>24</v>
      </c>
      <c r="E13" s="805">
        <f>'h10'!E8</f>
        <v>71</v>
      </c>
      <c r="F13" s="805">
        <f>'h10'!F8</f>
        <v>29</v>
      </c>
      <c r="G13" s="197">
        <f t="shared" si="1"/>
        <v>1104</v>
      </c>
      <c r="H13" s="806">
        <f t="shared" si="0"/>
        <v>1075</v>
      </c>
      <c r="I13" s="625"/>
      <c r="J13" s="625"/>
      <c r="K13" s="625"/>
      <c r="L13" s="625"/>
      <c r="M13" s="625"/>
      <c r="N13" s="625"/>
      <c r="O13" s="625"/>
      <c r="P13" s="625"/>
    </row>
    <row r="14" spans="1:16" x14ac:dyDescent="0.25">
      <c r="A14" s="198" t="str">
        <f>IF('h10'!B2 = "2013-14", 'h10'!A9, "40-44")</f>
        <v>40-44</v>
      </c>
      <c r="B14" s="805">
        <f>'h10'!B9</f>
        <v>687</v>
      </c>
      <c r="C14" s="805">
        <f>'h10'!C9</f>
        <v>376</v>
      </c>
      <c r="D14" s="805">
        <f>'h10'!D9</f>
        <v>20</v>
      </c>
      <c r="E14" s="805">
        <f>'h10'!E9</f>
        <v>91</v>
      </c>
      <c r="F14" s="805">
        <f>'h10'!F9</f>
        <v>33</v>
      </c>
      <c r="G14" s="197">
        <f t="shared" si="1"/>
        <v>1207</v>
      </c>
      <c r="H14" s="806">
        <f t="shared" si="0"/>
        <v>1174</v>
      </c>
      <c r="I14" s="625"/>
      <c r="J14" s="625"/>
      <c r="K14" s="625"/>
      <c r="L14" s="625"/>
      <c r="M14" s="625"/>
      <c r="N14" s="625"/>
      <c r="O14" s="625"/>
      <c r="P14" s="625"/>
    </row>
    <row r="15" spans="1:16" x14ac:dyDescent="0.25">
      <c r="A15" s="198" t="str">
        <f>IF('h10'!B2 = "2013-14", 'h10'!A10, "45-49")</f>
        <v>45-49</v>
      </c>
      <c r="B15" s="805">
        <f>'h10'!B10</f>
        <v>828</v>
      </c>
      <c r="C15" s="805">
        <f>'h10'!C10</f>
        <v>468</v>
      </c>
      <c r="D15" s="805">
        <f>'h10'!D10</f>
        <v>27</v>
      </c>
      <c r="E15" s="805">
        <f>'h10'!E10</f>
        <v>134</v>
      </c>
      <c r="F15" s="805">
        <f>'h10'!F10</f>
        <v>57</v>
      </c>
      <c r="G15" s="197">
        <f t="shared" si="1"/>
        <v>1514</v>
      </c>
      <c r="H15" s="806">
        <f t="shared" si="0"/>
        <v>1457</v>
      </c>
      <c r="I15" s="625"/>
      <c r="J15" s="625"/>
      <c r="K15" s="625"/>
      <c r="L15" s="625"/>
      <c r="M15" s="625"/>
      <c r="N15" s="625"/>
      <c r="O15" s="625"/>
      <c r="P15" s="625"/>
    </row>
    <row r="16" spans="1:16" x14ac:dyDescent="0.25">
      <c r="A16" s="198" t="str">
        <f>IF('h10'!B2 = "2013-14", 'h10'!A11, "50-54")</f>
        <v>50-54</v>
      </c>
      <c r="B16" s="805">
        <f>'h10'!B11</f>
        <v>749</v>
      </c>
      <c r="C16" s="805">
        <f>'h10'!C11</f>
        <v>514</v>
      </c>
      <c r="D16" s="805">
        <f>'h10'!D11</f>
        <v>28</v>
      </c>
      <c r="E16" s="805">
        <f>'h10'!E11</f>
        <v>132</v>
      </c>
      <c r="F16" s="805">
        <f>'h10'!F11</f>
        <v>73</v>
      </c>
      <c r="G16" s="197">
        <f t="shared" si="1"/>
        <v>1496</v>
      </c>
      <c r="H16" s="806">
        <f t="shared" si="0"/>
        <v>1423</v>
      </c>
      <c r="I16" s="625"/>
      <c r="J16" s="625"/>
      <c r="K16" s="625"/>
      <c r="L16" s="625"/>
      <c r="M16" s="625"/>
      <c r="N16" s="625"/>
      <c r="O16" s="625"/>
      <c r="P16" s="625"/>
    </row>
    <row r="17" spans="1:16" x14ac:dyDescent="0.25">
      <c r="A17" s="198" t="str">
        <f>IF('h10'!B2 = "2013-14","-", "55-59")</f>
        <v>55-59</v>
      </c>
      <c r="B17" s="805">
        <f>IF(A17 = "-", 0, 'h10'!B12)</f>
        <v>168</v>
      </c>
      <c r="C17" s="805">
        <f>IF(A17 = "-", 0, 'h10'!C12)</f>
        <v>268</v>
      </c>
      <c r="D17" s="805">
        <f>IF(A17 = "-", 0, 'h10'!D12)</f>
        <v>30</v>
      </c>
      <c r="E17" s="805">
        <f>IF(A17 = "-", 0, 'h10'!E12)</f>
        <v>126</v>
      </c>
      <c r="F17" s="805">
        <f>IF(A17 = "-", 0, 'h10'!F12)</f>
        <v>39</v>
      </c>
      <c r="G17" s="197">
        <f t="shared" si="1"/>
        <v>631</v>
      </c>
      <c r="H17" s="806">
        <f t="shared" si="0"/>
        <v>592</v>
      </c>
      <c r="I17" s="625"/>
      <c r="J17" s="625"/>
      <c r="K17" s="625"/>
      <c r="L17" s="625"/>
      <c r="M17" s="625"/>
      <c r="N17" s="625"/>
      <c r="O17" s="625"/>
      <c r="P17" s="625"/>
    </row>
    <row r="18" spans="1:16" x14ac:dyDescent="0.25">
      <c r="A18" s="198" t="str">
        <f>IF('h10'!B2 = "2013-14", "-", "60-64")</f>
        <v>60-64</v>
      </c>
      <c r="B18" s="805">
        <f>IF(A17 = "-", 0, 'h10'!B13)</f>
        <v>9</v>
      </c>
      <c r="C18" s="805">
        <f>IF(A17 = "-", 0, 'h10'!C13)</f>
        <v>95</v>
      </c>
      <c r="D18" s="805">
        <f>IF(A17 = "-", 0, 'h10'!D13)</f>
        <v>5</v>
      </c>
      <c r="E18" s="805">
        <f>IF(A17 = "-", 0, 'h10'!E13)</f>
        <v>89</v>
      </c>
      <c r="F18" s="805">
        <f>IF(A17 = "-", 0, 'h10'!F13)</f>
        <v>20</v>
      </c>
      <c r="G18" s="197">
        <f t="shared" si="1"/>
        <v>218</v>
      </c>
      <c r="H18" s="806">
        <f t="shared" si="0"/>
        <v>198</v>
      </c>
      <c r="I18" s="625"/>
    </row>
    <row r="19" spans="1:16" x14ac:dyDescent="0.25">
      <c r="A19" s="5" t="str">
        <f>IF('h10'!B2 = "2013-14", "-", "65-69")</f>
        <v>65-69</v>
      </c>
      <c r="B19" s="805">
        <f>'h10'!B14</f>
        <v>1</v>
      </c>
      <c r="C19" s="805">
        <f>'h10'!C14</f>
        <v>20</v>
      </c>
      <c r="D19" s="805">
        <f>'h10'!D14</f>
        <v>0</v>
      </c>
      <c r="E19" s="805">
        <f>'h10'!E14</f>
        <v>26</v>
      </c>
      <c r="F19" s="805">
        <f>'h10'!F14</f>
        <v>6</v>
      </c>
      <c r="G19" s="197">
        <f t="shared" si="1"/>
        <v>53</v>
      </c>
      <c r="H19" s="806">
        <f t="shared" si="0"/>
        <v>47</v>
      </c>
      <c r="I19" s="625"/>
    </row>
    <row r="20" spans="1:16" x14ac:dyDescent="0.25">
      <c r="A20" s="5" t="str">
        <f>IF('h10'!B2 = "2013-14", "-", "70-74")</f>
        <v>70-74</v>
      </c>
      <c r="B20" s="805">
        <f>'h10'!B15</f>
        <v>0</v>
      </c>
      <c r="C20" s="805">
        <f>'h10'!C15</f>
        <v>0</v>
      </c>
      <c r="D20" s="805">
        <f>'h10'!D15</f>
        <v>0</v>
      </c>
      <c r="E20" s="805">
        <f>'h10'!E15</f>
        <v>2</v>
      </c>
      <c r="F20" s="805">
        <f>'h10'!F15</f>
        <v>0</v>
      </c>
      <c r="G20" s="197">
        <f t="shared" si="1"/>
        <v>2</v>
      </c>
      <c r="H20" s="806">
        <f t="shared" si="0"/>
        <v>2</v>
      </c>
      <c r="I20" s="625"/>
    </row>
    <row r="21" spans="1:16" ht="15.75" thickBot="1" x14ac:dyDescent="0.3">
      <c r="A21" s="199" t="s">
        <v>840</v>
      </c>
      <c r="B21" s="200">
        <f t="shared" ref="B21:H21" si="2">SUM(B9:B20)</f>
        <v>3637</v>
      </c>
      <c r="C21" s="200">
        <f t="shared" si="2"/>
        <v>2953</v>
      </c>
      <c r="D21" s="200">
        <f t="shared" si="2"/>
        <v>207</v>
      </c>
      <c r="E21" s="200">
        <f t="shared" si="2"/>
        <v>792</v>
      </c>
      <c r="F21" s="200">
        <f t="shared" si="2"/>
        <v>317</v>
      </c>
      <c r="G21" s="200">
        <f t="shared" si="2"/>
        <v>7906</v>
      </c>
      <c r="H21" s="200">
        <f t="shared" si="2"/>
        <v>7589</v>
      </c>
    </row>
    <row r="22" spans="1:16" x14ac:dyDescent="0.25">
      <c r="A22" s="6"/>
      <c r="B22" s="52"/>
      <c r="C22" s="52"/>
      <c r="D22" s="52"/>
      <c r="E22" s="52"/>
      <c r="F22" s="52"/>
      <c r="G22" s="52"/>
      <c r="H22" s="52"/>
    </row>
    <row r="23" spans="1:16" x14ac:dyDescent="0.25">
      <c r="A23" s="496" t="s">
        <v>8</v>
      </c>
      <c r="B23" s="497"/>
      <c r="C23" s="497"/>
      <c r="D23" s="497"/>
      <c r="E23" s="497"/>
      <c r="F23" s="497"/>
      <c r="G23" s="498"/>
      <c r="H23" s="498"/>
    </row>
    <row r="24" spans="1:16" x14ac:dyDescent="0.25">
      <c r="A24" t="s">
        <v>238</v>
      </c>
      <c r="B24" s="497"/>
      <c r="C24" s="497"/>
      <c r="D24" s="497"/>
      <c r="E24" s="497"/>
      <c r="F24" s="497"/>
      <c r="G24" s="498"/>
      <c r="H24" s="498"/>
    </row>
    <row r="25" spans="1:16" x14ac:dyDescent="0.25">
      <c r="A25" t="s">
        <v>839</v>
      </c>
      <c r="B25" s="201"/>
      <c r="C25" s="201"/>
      <c r="D25" s="201"/>
      <c r="E25" s="201"/>
      <c r="F25" s="201"/>
      <c r="G25" s="27"/>
      <c r="H25" s="27"/>
    </row>
    <row r="26" spans="1:16" x14ac:dyDescent="0.25">
      <c r="A26" s="112"/>
      <c r="B26" s="201"/>
      <c r="C26" s="201"/>
      <c r="D26" s="201"/>
      <c r="E26" s="201"/>
      <c r="F26" s="201"/>
      <c r="G26" s="27"/>
      <c r="H26" s="27"/>
    </row>
    <row r="27" spans="1:16" ht="15.75" customHeight="1" x14ac:dyDescent="0.25">
      <c r="A27" s="1004" t="s">
        <v>545</v>
      </c>
      <c r="B27" s="1004"/>
      <c r="C27" s="1004"/>
      <c r="D27" s="1004"/>
      <c r="E27" s="1004"/>
      <c r="F27" s="1004"/>
      <c r="G27" s="1004"/>
      <c r="H27" s="1004"/>
    </row>
    <row r="28" spans="1:16" ht="15.75" customHeight="1" x14ac:dyDescent="0.25">
      <c r="A28" t="s">
        <v>368</v>
      </c>
      <c r="B28" t="s">
        <v>788</v>
      </c>
      <c r="C28" s="631"/>
      <c r="D28" s="631"/>
      <c r="E28" s="631"/>
      <c r="F28" s="631"/>
      <c r="G28" s="631"/>
      <c r="H28" s="631"/>
    </row>
    <row r="29" spans="1:16" ht="15.75" customHeight="1" x14ac:dyDescent="0.25">
      <c r="A29" t="s">
        <v>369</v>
      </c>
      <c r="B29" t="s">
        <v>371</v>
      </c>
      <c r="C29" s="631"/>
      <c r="D29" s="631"/>
      <c r="E29" s="631"/>
      <c r="F29" s="631"/>
      <c r="G29" s="631"/>
      <c r="H29" s="631"/>
    </row>
    <row r="30" spans="1:16" ht="15.75" customHeight="1" x14ac:dyDescent="0.25">
      <c r="A30" t="s">
        <v>370</v>
      </c>
      <c r="B30" t="s">
        <v>372</v>
      </c>
      <c r="C30" s="631"/>
      <c r="D30" s="631"/>
      <c r="E30" s="631"/>
      <c r="F30" s="631"/>
      <c r="G30" s="631"/>
      <c r="H30" s="631"/>
    </row>
    <row r="31" spans="1:16" ht="39" x14ac:dyDescent="0.25">
      <c r="A31" s="19" t="s">
        <v>215</v>
      </c>
      <c r="B31" s="202" t="s">
        <v>92</v>
      </c>
      <c r="C31" s="202" t="s">
        <v>28</v>
      </c>
      <c r="D31" s="202" t="s">
        <v>2</v>
      </c>
      <c r="E31" s="202" t="s">
        <v>93</v>
      </c>
      <c r="F31" s="195" t="s">
        <v>29</v>
      </c>
      <c r="G31" s="202" t="s">
        <v>107</v>
      </c>
      <c r="H31" s="202" t="s">
        <v>105</v>
      </c>
    </row>
    <row r="32" spans="1:16" x14ac:dyDescent="0.25">
      <c r="A32" s="203" t="str">
        <f>A9</f>
        <v>&lt;20</v>
      </c>
      <c r="B32" s="204">
        <f t="shared" ref="B32:H39" si="3">B9/B$21</f>
        <v>0</v>
      </c>
      <c r="C32" s="204">
        <f t="shared" si="3"/>
        <v>1.3545546901456147E-3</v>
      </c>
      <c r="D32" s="204">
        <f t="shared" si="3"/>
        <v>0</v>
      </c>
      <c r="E32" s="204">
        <f t="shared" si="3"/>
        <v>2.5252525252525255E-3</v>
      </c>
      <c r="F32" s="204">
        <f t="shared" si="3"/>
        <v>0</v>
      </c>
      <c r="G32" s="205">
        <f t="shared" si="3"/>
        <v>7.5891727801669616E-4</v>
      </c>
      <c r="H32" s="205">
        <f t="shared" si="3"/>
        <v>7.9061799973646069E-4</v>
      </c>
    </row>
    <row r="33" spans="1:8" x14ac:dyDescent="0.25">
      <c r="A33" s="206" t="str">
        <f t="shared" ref="A33:A43" si="4">A10</f>
        <v>20-24</v>
      </c>
      <c r="B33" s="204">
        <f t="shared" si="3"/>
        <v>1.2922738520758868E-2</v>
      </c>
      <c r="C33" s="204">
        <f t="shared" si="3"/>
        <v>4.7409414155096509E-2</v>
      </c>
      <c r="D33" s="204">
        <f t="shared" si="3"/>
        <v>5.7971014492753624E-2</v>
      </c>
      <c r="E33" s="204">
        <f t="shared" si="3"/>
        <v>2.2727272727272728E-2</v>
      </c>
      <c r="F33" s="204">
        <f t="shared" si="3"/>
        <v>4.1009463722397478E-2</v>
      </c>
      <c r="G33" s="205">
        <f t="shared" si="3"/>
        <v>2.9091828990640022E-2</v>
      </c>
      <c r="H33" s="205">
        <f t="shared" si="3"/>
        <v>2.8594017657135328E-2</v>
      </c>
    </row>
    <row r="34" spans="1:8" x14ac:dyDescent="0.25">
      <c r="A34" s="206" t="str">
        <f t="shared" si="4"/>
        <v>25-29</v>
      </c>
      <c r="B34" s="204">
        <f t="shared" si="3"/>
        <v>5.8839703051965904E-2</v>
      </c>
      <c r="C34" s="204">
        <f t="shared" si="3"/>
        <v>0.10463934981374873</v>
      </c>
      <c r="D34" s="204">
        <f t="shared" si="3"/>
        <v>0.12077294685990338</v>
      </c>
      <c r="E34" s="204">
        <f t="shared" si="3"/>
        <v>5.0505050505050504E-2</v>
      </c>
      <c r="F34" s="204">
        <f t="shared" si="3"/>
        <v>5.993690851735016E-2</v>
      </c>
      <c r="G34" s="205">
        <f t="shared" si="3"/>
        <v>7.6777131292689094E-2</v>
      </c>
      <c r="H34" s="205">
        <f t="shared" si="3"/>
        <v>7.7480563974173147E-2</v>
      </c>
    </row>
    <row r="35" spans="1:8" x14ac:dyDescent="0.25">
      <c r="A35" s="206" t="str">
        <f t="shared" si="4"/>
        <v>30-34</v>
      </c>
      <c r="B35" s="204">
        <f t="shared" si="3"/>
        <v>9.3208688479516091E-2</v>
      </c>
      <c r="C35" s="204">
        <f t="shared" si="3"/>
        <v>0.12665086352861496</v>
      </c>
      <c r="D35" s="204">
        <f t="shared" si="3"/>
        <v>0.17391304347826086</v>
      </c>
      <c r="E35" s="204">
        <f t="shared" si="3"/>
        <v>7.7020202020202017E-2</v>
      </c>
      <c r="F35" s="204">
        <f t="shared" si="3"/>
        <v>8.8328075709779186E-2</v>
      </c>
      <c r="G35" s="205">
        <f t="shared" si="3"/>
        <v>0.1059954464963319</v>
      </c>
      <c r="H35" s="205">
        <f t="shared" si="3"/>
        <v>0.10673342996442219</v>
      </c>
    </row>
    <row r="36" spans="1:8" x14ac:dyDescent="0.25">
      <c r="A36" s="206" t="str">
        <f t="shared" si="4"/>
        <v>35-39</v>
      </c>
      <c r="B36" s="204">
        <f t="shared" si="3"/>
        <v>0.16359637063513885</v>
      </c>
      <c r="C36" s="204">
        <f t="shared" si="3"/>
        <v>0.13037588892651542</v>
      </c>
      <c r="D36" s="204">
        <f t="shared" si="3"/>
        <v>0.11594202898550725</v>
      </c>
      <c r="E36" s="204">
        <f t="shared" si="3"/>
        <v>8.9646464646464641E-2</v>
      </c>
      <c r="F36" s="204">
        <f t="shared" si="3"/>
        <v>9.1482649842271294E-2</v>
      </c>
      <c r="G36" s="205">
        <f t="shared" si="3"/>
        <v>0.13964077915507209</v>
      </c>
      <c r="H36" s="205">
        <f t="shared" si="3"/>
        <v>0.1416523916194492</v>
      </c>
    </row>
    <row r="37" spans="1:8" x14ac:dyDescent="0.25">
      <c r="A37" s="206" t="str">
        <f t="shared" si="4"/>
        <v>40-44</v>
      </c>
      <c r="B37" s="204">
        <f t="shared" si="3"/>
        <v>0.18889194390981578</v>
      </c>
      <c r="C37" s="204">
        <f t="shared" si="3"/>
        <v>0.12732814087368777</v>
      </c>
      <c r="D37" s="204">
        <f t="shared" si="3"/>
        <v>9.6618357487922704E-2</v>
      </c>
      <c r="E37" s="204">
        <f t="shared" si="3"/>
        <v>0.1148989898989899</v>
      </c>
      <c r="F37" s="204">
        <f t="shared" si="3"/>
        <v>0.10410094637223975</v>
      </c>
      <c r="G37" s="205">
        <f t="shared" si="3"/>
        <v>0.15266885909435871</v>
      </c>
      <c r="H37" s="205">
        <f t="shared" si="3"/>
        <v>0.1546975886151008</v>
      </c>
    </row>
    <row r="38" spans="1:8" x14ac:dyDescent="0.25">
      <c r="A38" s="206" t="str">
        <f t="shared" si="4"/>
        <v>45-49</v>
      </c>
      <c r="B38" s="204">
        <f t="shared" si="3"/>
        <v>0.22766015947209239</v>
      </c>
      <c r="C38" s="204">
        <f t="shared" si="3"/>
        <v>0.15848289874703692</v>
      </c>
      <c r="D38" s="204">
        <f t="shared" si="3"/>
        <v>0.13043478260869565</v>
      </c>
      <c r="E38" s="204">
        <f t="shared" si="3"/>
        <v>0.1691919191919192</v>
      </c>
      <c r="F38" s="204">
        <f t="shared" si="3"/>
        <v>0.17981072555205047</v>
      </c>
      <c r="G38" s="205">
        <f t="shared" si="3"/>
        <v>0.19150012648621301</v>
      </c>
      <c r="H38" s="205">
        <f t="shared" si="3"/>
        <v>0.19198840426933719</v>
      </c>
    </row>
    <row r="39" spans="1:8" x14ac:dyDescent="0.25">
      <c r="A39" s="206" t="str">
        <f t="shared" si="4"/>
        <v>50-54</v>
      </c>
      <c r="B39" s="204">
        <f t="shared" si="3"/>
        <v>0.20593896068188067</v>
      </c>
      <c r="C39" s="204">
        <f t="shared" si="3"/>
        <v>0.17406027768371149</v>
      </c>
      <c r="D39" s="204">
        <f t="shared" si="3"/>
        <v>0.13526570048309178</v>
      </c>
      <c r="E39" s="204">
        <f t="shared" si="3"/>
        <v>0.16666666666666666</v>
      </c>
      <c r="F39" s="204">
        <f t="shared" si="3"/>
        <v>0.2302839116719243</v>
      </c>
      <c r="G39" s="205">
        <f t="shared" si="3"/>
        <v>0.18922337465216291</v>
      </c>
      <c r="H39" s="205">
        <f>H16/H$21</f>
        <v>0.18750823560416391</v>
      </c>
    </row>
    <row r="40" spans="1:8" x14ac:dyDescent="0.25">
      <c r="A40" s="206" t="str">
        <f t="shared" si="4"/>
        <v>55-59</v>
      </c>
      <c r="B40" s="204">
        <f>IF(A17 = "-","-", B17/B$21)</f>
        <v>4.6191916414627443E-2</v>
      </c>
      <c r="C40" s="204">
        <f>IF(A17 = "-","-", C17/C$21)</f>
        <v>9.0755164239756186E-2</v>
      </c>
      <c r="D40" s="204">
        <f>IF(A17 = "-","-", D17/D$21)</f>
        <v>0.14492753623188406</v>
      </c>
      <c r="E40" s="204">
        <f>IF(A17 = "-","-", E17/E$21)</f>
        <v>0.15909090909090909</v>
      </c>
      <c r="F40" s="204">
        <f>IF(A17 = "-","-", F17/F$21)</f>
        <v>0.12302839116719243</v>
      </c>
      <c r="G40" s="205">
        <f>IF(A17 = "-","-", G17/G$21)</f>
        <v>7.9812800404755885E-2</v>
      </c>
      <c r="H40" s="205">
        <f>IF(A17 = "-","-", H17/H$21)</f>
        <v>7.8007642640664121E-2</v>
      </c>
    </row>
    <row r="41" spans="1:8" x14ac:dyDescent="0.25">
      <c r="A41" s="206" t="str">
        <f t="shared" si="4"/>
        <v>60-64</v>
      </c>
      <c r="B41" s="204">
        <f>IF(A17 = "-","-",B18/B$21)</f>
        <v>2.474566950783613E-3</v>
      </c>
      <c r="C41" s="204">
        <f>IF(A17 = "-","-", C18/C$21)</f>
        <v>3.2170673890958346E-2</v>
      </c>
      <c r="D41" s="204">
        <f>IF(A17 = "-","-", D18/D$21)</f>
        <v>2.4154589371980676E-2</v>
      </c>
      <c r="E41" s="204">
        <f>IF(A17 = "-","-", E18/E$21)</f>
        <v>0.11237373737373738</v>
      </c>
      <c r="F41" s="204">
        <f>IF(A17 = "-","-", F18/F$21)</f>
        <v>6.3091482649842268E-2</v>
      </c>
      <c r="G41" s="205">
        <f>IF(A17 = "-","-", G18/G$21)</f>
        <v>2.7573994434606629E-2</v>
      </c>
      <c r="H41" s="205">
        <f>IF(A17 = "-","-", H18/H$21)</f>
        <v>2.6090393991303203E-2</v>
      </c>
    </row>
    <row r="42" spans="1:8" x14ac:dyDescent="0.25">
      <c r="A42" s="203" t="str">
        <f t="shared" si="4"/>
        <v>65-69</v>
      </c>
      <c r="B42" s="204">
        <f>IF(A17 = "-","-", B19/B$21)</f>
        <v>2.7495188342040145E-4</v>
      </c>
      <c r="C42" s="204">
        <f>IF(A17 = "-","-", C19/C$21)</f>
        <v>6.7727734507280731E-3</v>
      </c>
      <c r="D42" s="204">
        <f>IF(A17 = "-","-", D19/D$21)</f>
        <v>0</v>
      </c>
      <c r="E42" s="204">
        <f>IF(A17 = "-","-", E19/E$21)</f>
        <v>3.2828282828282832E-2</v>
      </c>
      <c r="F42" s="204">
        <f>IF(A17 = "-","-", F19/F$21)</f>
        <v>1.8927444794952682E-2</v>
      </c>
      <c r="G42" s="205">
        <f>IF(A17 = "-","-", G19/G$21)</f>
        <v>6.7037692891474829E-3</v>
      </c>
      <c r="H42" s="205">
        <f>IF(A17 = "-","-", H19/H$21)</f>
        <v>6.193174331268942E-3</v>
      </c>
    </row>
    <row r="43" spans="1:8" x14ac:dyDescent="0.25">
      <c r="A43" s="203" t="str">
        <f t="shared" si="4"/>
        <v>70-74</v>
      </c>
      <c r="B43" s="204">
        <f>IF(A17 = "-","-", B20/B$21)</f>
        <v>0</v>
      </c>
      <c r="C43" s="204">
        <f>IF(A17 = "-","-", C20/C$21)</f>
        <v>0</v>
      </c>
      <c r="D43" s="204">
        <f>IF(A17 = "-","-", D20/D$21)</f>
        <v>0</v>
      </c>
      <c r="E43" s="204">
        <f>IF(A17 = "-","-", E20/E$21)</f>
        <v>2.5252525252525255E-3</v>
      </c>
      <c r="F43" s="204">
        <f>IF(A17 = "-","-", F20/F$21)</f>
        <v>0</v>
      </c>
      <c r="G43" s="205">
        <f>IF(A17 = "-","-", G20/G$21)</f>
        <v>2.5297242600556537E-4</v>
      </c>
      <c r="H43" s="205">
        <f>IF(A17 = "-","-", H20/H$21)</f>
        <v>2.635393332454869E-4</v>
      </c>
    </row>
    <row r="44" spans="1:8" ht="15.75" thickBot="1" x14ac:dyDescent="0.3">
      <c r="A44" s="207" t="s">
        <v>840</v>
      </c>
      <c r="B44" s="208">
        <f t="shared" ref="B44:H44" si="5">SUM(B32:B43)</f>
        <v>1</v>
      </c>
      <c r="C44" s="208">
        <f t="shared" si="5"/>
        <v>0.99999999999999989</v>
      </c>
      <c r="D44" s="208">
        <f t="shared" si="5"/>
        <v>1.0000000000000002</v>
      </c>
      <c r="E44" s="208">
        <f t="shared" si="5"/>
        <v>0.99999999999999989</v>
      </c>
      <c r="F44" s="208">
        <f t="shared" si="5"/>
        <v>1.0000000000000002</v>
      </c>
      <c r="G44" s="208">
        <f t="shared" si="5"/>
        <v>0.99999999999999989</v>
      </c>
      <c r="H44" s="208">
        <f t="shared" si="5"/>
        <v>1</v>
      </c>
    </row>
    <row r="45" spans="1:8" x14ac:dyDescent="0.25">
      <c r="A45" s="203"/>
      <c r="B45" s="209"/>
      <c r="C45" s="209"/>
      <c r="D45" s="209"/>
      <c r="E45" s="209"/>
      <c r="F45" s="209"/>
      <c r="G45" s="210"/>
      <c r="H45" s="210"/>
    </row>
    <row r="46" spans="1:8" x14ac:dyDescent="0.25">
      <c r="A46" s="496" t="s">
        <v>8</v>
      </c>
      <c r="B46" s="497"/>
      <c r="C46" s="497"/>
      <c r="D46" s="497"/>
      <c r="E46" s="497"/>
      <c r="F46" s="497"/>
      <c r="G46" s="498"/>
      <c r="H46" s="498"/>
    </row>
    <row r="47" spans="1:8" x14ac:dyDescent="0.25">
      <c r="A47" s="499" t="s">
        <v>238</v>
      </c>
      <c r="B47" s="497"/>
      <c r="C47" s="497"/>
      <c r="D47" s="497"/>
      <c r="E47" s="497"/>
      <c r="F47" s="497"/>
      <c r="G47" s="498"/>
      <c r="H47" s="498"/>
    </row>
    <row r="48" spans="1:8" x14ac:dyDescent="0.25">
      <c r="A48" t="s">
        <v>839</v>
      </c>
      <c r="B48" s="201"/>
      <c r="C48" s="201"/>
      <c r="D48" s="201"/>
      <c r="E48" s="201"/>
      <c r="F48" s="201"/>
      <c r="G48" s="27"/>
      <c r="H48" s="27"/>
    </row>
    <row r="49" spans="1:8" x14ac:dyDescent="0.25">
      <c r="A49" s="112"/>
      <c r="B49" s="201"/>
      <c r="C49" s="201"/>
      <c r="D49" s="201"/>
      <c r="E49" s="201"/>
      <c r="F49" s="201"/>
      <c r="G49" s="27"/>
      <c r="H49" s="27"/>
    </row>
  </sheetData>
  <sheetProtection algorithmName="SHA-512" hashValue="04jvNDjtf3bx0u0QX57FUa6Vmvpz1eKC9E7OD16xHhmhgbnHYueWlJqhK/f0sgVAR5JMM6YfsoCnCwTFSzuAlg==" saltValue="pvE9TdRyq+4Q7eaaoexvcw==" spinCount="100000" sheet="1" scenarios="1" pivotTables="0"/>
  <mergeCells count="3">
    <mergeCell ref="A4:H4"/>
    <mergeCell ref="A27:H27"/>
    <mergeCell ref="A1:C1"/>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1" orientation="portrait" r:id="rId1"/>
  <drawing r:id="rId2"/>
  <extLst>
    <ext xmlns:x14="http://schemas.microsoft.com/office/spreadsheetml/2009/9/main" uri="{A8765BA9-456A-4dab-B4F3-ACF838C121DE}">
      <x14:slicerList>
        <x14:slicer r:id="rId3"/>
      </x14:slicerList>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9" tint="0.39997558519241921"/>
  </sheetPr>
  <dimension ref="A2:G17"/>
  <sheetViews>
    <sheetView workbookViewId="0">
      <selection activeCell="C10" sqref="C10"/>
    </sheetView>
  </sheetViews>
  <sheetFormatPr defaultRowHeight="15" x14ac:dyDescent="0.25"/>
  <cols>
    <col min="1" max="1" width="13.140625" customWidth="1"/>
    <col min="2" max="2" width="10.5703125" bestFit="1" customWidth="1"/>
    <col min="3" max="3" width="11" bestFit="1" customWidth="1"/>
    <col min="4" max="4" width="14.28515625" bestFit="1" customWidth="1"/>
    <col min="5" max="5" width="14.7109375" bestFit="1" customWidth="1"/>
    <col min="6" max="6" width="10.5703125" bestFit="1" customWidth="1"/>
    <col min="7" max="7" width="12" bestFit="1" customWidth="1"/>
  </cols>
  <sheetData>
    <row r="2" spans="1:7" x14ac:dyDescent="0.25">
      <c r="A2" s="569" t="s">
        <v>274</v>
      </c>
      <c r="B2" t="s">
        <v>258</v>
      </c>
    </row>
    <row r="4" spans="1:7" x14ac:dyDescent="0.25">
      <c r="A4" s="569" t="s">
        <v>250</v>
      </c>
      <c r="B4" t="s">
        <v>257</v>
      </c>
      <c r="C4" t="s">
        <v>264</v>
      </c>
      <c r="D4" t="s">
        <v>265</v>
      </c>
      <c r="E4" t="s">
        <v>266</v>
      </c>
      <c r="F4" t="s">
        <v>267</v>
      </c>
      <c r="G4" t="s">
        <v>256</v>
      </c>
    </row>
    <row r="5" spans="1:7" x14ac:dyDescent="0.25">
      <c r="A5" s="986" t="s">
        <v>108</v>
      </c>
      <c r="B5" s="571">
        <v>47</v>
      </c>
      <c r="C5" s="571">
        <v>140</v>
      </c>
      <c r="D5" s="571">
        <v>12</v>
      </c>
      <c r="E5" s="571">
        <v>18</v>
      </c>
      <c r="F5" s="571">
        <v>13</v>
      </c>
      <c r="G5" s="571">
        <v>230</v>
      </c>
    </row>
    <row r="6" spans="1:7" x14ac:dyDescent="0.25">
      <c r="A6" s="986" t="s">
        <v>109</v>
      </c>
      <c r="B6" s="571">
        <v>214</v>
      </c>
      <c r="C6" s="571">
        <v>309</v>
      </c>
      <c r="D6" s="571">
        <v>25</v>
      </c>
      <c r="E6" s="571">
        <v>40</v>
      </c>
      <c r="F6" s="571">
        <v>19</v>
      </c>
      <c r="G6" s="571">
        <v>607</v>
      </c>
    </row>
    <row r="7" spans="1:7" x14ac:dyDescent="0.25">
      <c r="A7" s="986" t="s">
        <v>110</v>
      </c>
      <c r="B7" s="571">
        <v>339</v>
      </c>
      <c r="C7" s="571">
        <v>374</v>
      </c>
      <c r="D7" s="571">
        <v>36</v>
      </c>
      <c r="E7" s="571">
        <v>61</v>
      </c>
      <c r="F7" s="571">
        <v>28</v>
      </c>
      <c r="G7" s="571">
        <v>838</v>
      </c>
    </row>
    <row r="8" spans="1:7" x14ac:dyDescent="0.25">
      <c r="A8" s="986" t="s">
        <v>111</v>
      </c>
      <c r="B8" s="571">
        <v>595</v>
      </c>
      <c r="C8" s="571">
        <v>385</v>
      </c>
      <c r="D8" s="571">
        <v>24</v>
      </c>
      <c r="E8" s="571">
        <v>71</v>
      </c>
      <c r="F8" s="571">
        <v>29</v>
      </c>
      <c r="G8" s="571">
        <v>1104</v>
      </c>
    </row>
    <row r="9" spans="1:7" x14ac:dyDescent="0.25">
      <c r="A9" s="986" t="s">
        <v>112</v>
      </c>
      <c r="B9" s="571">
        <v>687</v>
      </c>
      <c r="C9" s="571">
        <v>376</v>
      </c>
      <c r="D9" s="571">
        <v>20</v>
      </c>
      <c r="E9" s="571">
        <v>91</v>
      </c>
      <c r="F9" s="571">
        <v>33</v>
      </c>
      <c r="G9" s="571">
        <v>1207</v>
      </c>
    </row>
    <row r="10" spans="1:7" x14ac:dyDescent="0.25">
      <c r="A10" s="986" t="s">
        <v>113</v>
      </c>
      <c r="B10" s="571">
        <v>828</v>
      </c>
      <c r="C10" s="571">
        <v>468</v>
      </c>
      <c r="D10" s="571">
        <v>27</v>
      </c>
      <c r="E10" s="571">
        <v>134</v>
      </c>
      <c r="F10" s="571">
        <v>57</v>
      </c>
      <c r="G10" s="571">
        <v>1514</v>
      </c>
    </row>
    <row r="11" spans="1:7" x14ac:dyDescent="0.25">
      <c r="A11" s="986" t="s">
        <v>114</v>
      </c>
      <c r="B11" s="571">
        <v>749</v>
      </c>
      <c r="C11" s="571">
        <v>514</v>
      </c>
      <c r="D11" s="571">
        <v>28</v>
      </c>
      <c r="E11" s="571">
        <v>132</v>
      </c>
      <c r="F11" s="571">
        <v>73</v>
      </c>
      <c r="G11" s="571">
        <v>1496</v>
      </c>
    </row>
    <row r="12" spans="1:7" x14ac:dyDescent="0.25">
      <c r="A12" s="986" t="s">
        <v>115</v>
      </c>
      <c r="B12" s="571">
        <v>168</v>
      </c>
      <c r="C12" s="571">
        <v>268</v>
      </c>
      <c r="D12" s="571">
        <v>30</v>
      </c>
      <c r="E12" s="571">
        <v>126</v>
      </c>
      <c r="F12" s="571">
        <v>39</v>
      </c>
      <c r="G12" s="571">
        <v>631</v>
      </c>
    </row>
    <row r="13" spans="1:7" x14ac:dyDescent="0.25">
      <c r="A13" s="986" t="s">
        <v>116</v>
      </c>
      <c r="B13" s="571">
        <v>9</v>
      </c>
      <c r="C13" s="571">
        <v>95</v>
      </c>
      <c r="D13" s="571">
        <v>5</v>
      </c>
      <c r="E13" s="571">
        <v>89</v>
      </c>
      <c r="F13" s="571">
        <v>20</v>
      </c>
      <c r="G13" s="571">
        <v>218</v>
      </c>
    </row>
    <row r="14" spans="1:7" x14ac:dyDescent="0.25">
      <c r="A14" s="986" t="s">
        <v>117</v>
      </c>
      <c r="B14" s="571">
        <v>1</v>
      </c>
      <c r="C14" s="571">
        <v>20</v>
      </c>
      <c r="D14" s="571"/>
      <c r="E14" s="571">
        <v>26</v>
      </c>
      <c r="F14" s="571">
        <v>6</v>
      </c>
      <c r="G14" s="571">
        <v>53</v>
      </c>
    </row>
    <row r="15" spans="1:7" x14ac:dyDescent="0.25">
      <c r="A15" s="986" t="s">
        <v>118</v>
      </c>
      <c r="B15" s="571"/>
      <c r="C15" s="571"/>
      <c r="D15" s="571"/>
      <c r="E15" s="571">
        <v>2</v>
      </c>
      <c r="F15" s="571"/>
      <c r="G15" s="571">
        <v>2</v>
      </c>
    </row>
    <row r="16" spans="1:7" x14ac:dyDescent="0.25">
      <c r="A16" s="986" t="s">
        <v>326</v>
      </c>
      <c r="B16" s="571"/>
      <c r="C16" s="571">
        <v>4</v>
      </c>
      <c r="D16" s="571"/>
      <c r="E16" s="571">
        <v>2</v>
      </c>
      <c r="F16" s="571"/>
      <c r="G16" s="571">
        <v>6</v>
      </c>
    </row>
    <row r="17" spans="1:7" x14ac:dyDescent="0.25">
      <c r="A17" s="986" t="s">
        <v>255</v>
      </c>
      <c r="B17" s="571">
        <v>3637</v>
      </c>
      <c r="C17" s="571">
        <v>2953</v>
      </c>
      <c r="D17" s="571">
        <v>207</v>
      </c>
      <c r="E17" s="571">
        <v>792</v>
      </c>
      <c r="F17" s="571">
        <v>317</v>
      </c>
      <c r="G17" s="571">
        <v>7906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tint="0.39997558519241921"/>
    <pageSetUpPr fitToPage="1"/>
  </sheetPr>
  <dimension ref="A1:F48"/>
  <sheetViews>
    <sheetView showGridLines="0" workbookViewId="0">
      <pane ySplit="2" topLeftCell="A3" activePane="bottomLeft" state="frozen"/>
      <selection sqref="A1:C1"/>
      <selection pane="bottomLeft" sqref="A1:C1"/>
    </sheetView>
  </sheetViews>
  <sheetFormatPr defaultRowHeight="15" x14ac:dyDescent="0.25"/>
  <cols>
    <col min="1" max="1" width="23.5703125" customWidth="1"/>
    <col min="2" max="4" width="14.140625" customWidth="1"/>
    <col min="5" max="6" width="14.140625" style="672" customWidth="1"/>
  </cols>
  <sheetData>
    <row r="1" spans="1:6" ht="15.75" x14ac:dyDescent="0.25">
      <c r="A1" s="993" t="s">
        <v>523</v>
      </c>
      <c r="B1" s="993"/>
      <c r="C1" s="993"/>
    </row>
    <row r="2" spans="1:6" x14ac:dyDescent="0.25">
      <c r="A2" s="790" t="s">
        <v>598</v>
      </c>
    </row>
    <row r="3" spans="1:6" x14ac:dyDescent="0.25">
      <c r="A3" s="31"/>
      <c r="B3" s="31"/>
      <c r="C3" s="31"/>
      <c r="D3" s="194"/>
    </row>
    <row r="4" spans="1:6" ht="18.75" customHeight="1" x14ac:dyDescent="0.25">
      <c r="A4" s="1004" t="s">
        <v>561</v>
      </c>
      <c r="B4" s="1004"/>
      <c r="C4" s="1004"/>
      <c r="D4" s="1004"/>
      <c r="E4" s="1004"/>
      <c r="F4" s="1004"/>
    </row>
    <row r="5" spans="1:6" ht="18.75" customHeight="1" x14ac:dyDescent="0.25">
      <c r="A5" t="s">
        <v>559</v>
      </c>
      <c r="B5" s="631"/>
      <c r="C5" s="631"/>
      <c r="D5" s="631"/>
      <c r="E5" s="631"/>
      <c r="F5" s="631"/>
    </row>
    <row r="6" spans="1:6" ht="15" customHeight="1" x14ac:dyDescent="0.25">
      <c r="A6" t="s">
        <v>368</v>
      </c>
      <c r="B6" t="s">
        <v>789</v>
      </c>
      <c r="C6" s="631"/>
      <c r="D6" s="631"/>
      <c r="E6" s="631"/>
      <c r="F6" s="631"/>
    </row>
    <row r="7" spans="1:6" ht="15" customHeight="1" x14ac:dyDescent="0.25">
      <c r="A7" t="s">
        <v>369</v>
      </c>
      <c r="B7" t="s">
        <v>371</v>
      </c>
      <c r="C7" s="631"/>
      <c r="D7" s="631"/>
      <c r="E7" s="631"/>
      <c r="F7" s="631"/>
    </row>
    <row r="8" spans="1:6" ht="15" customHeight="1" x14ac:dyDescent="0.25">
      <c r="A8" t="s">
        <v>370</v>
      </c>
      <c r="B8" t="s">
        <v>372</v>
      </c>
      <c r="C8" s="631"/>
      <c r="D8" s="631"/>
      <c r="E8" s="631"/>
      <c r="F8" s="631"/>
    </row>
    <row r="9" spans="1:6" ht="36" customHeight="1" x14ac:dyDescent="0.25">
      <c r="A9" s="19" t="s">
        <v>191</v>
      </c>
      <c r="B9" s="3" t="s">
        <v>92</v>
      </c>
      <c r="C9" s="195" t="s">
        <v>28</v>
      </c>
      <c r="D9" s="3" t="s">
        <v>2</v>
      </c>
      <c r="E9" s="3" t="s">
        <v>29</v>
      </c>
      <c r="F9" s="3" t="s">
        <v>414</v>
      </c>
    </row>
    <row r="10" spans="1:6" x14ac:dyDescent="0.25">
      <c r="A10" s="196" t="s">
        <v>186</v>
      </c>
      <c r="B10" s="61">
        <f>GETPIVOTDATA("Sum of WT",h10c!$A$4,"ServiceLength","Under 5")</f>
        <v>406</v>
      </c>
      <c r="C10" s="61">
        <f>GETPIVOTDATA("Sum of RDS",h10c!$A$4,"ServiceLength","Under 5")</f>
        <v>749</v>
      </c>
      <c r="D10" s="61">
        <f>GETPIVOTDATA("Sum of Control",h10c!$A$4,"ServiceLength","Under 5")</f>
        <v>62</v>
      </c>
      <c r="E10" s="119">
        <f>GETPIVOTDATA("Sum of Vol",h10c!$A$4,"ServiceLength","Under 5")</f>
        <v>96</v>
      </c>
      <c r="F10" s="197">
        <f t="shared" ref="F10:F18" si="0">SUM(B10:E10)</f>
        <v>1313</v>
      </c>
    </row>
    <row r="11" spans="1:6" x14ac:dyDescent="0.25">
      <c r="A11" s="465" t="s">
        <v>187</v>
      </c>
      <c r="B11" s="61">
        <f>GETPIVOTDATA("Sum of WT",h10c!$A$4,"ServiceLength","5-9")</f>
        <v>325</v>
      </c>
      <c r="C11" s="61">
        <f>GETPIVOTDATA("Sum of RDS",h10c!$A$4,"ServiceLength","5-9")</f>
        <v>581</v>
      </c>
      <c r="D11" s="61">
        <f>GETPIVOTDATA("Sum of Control",h10c!$A$4,"ServiceLength","5-9")</f>
        <v>27</v>
      </c>
      <c r="E11" s="119">
        <f>GETPIVOTDATA("Sum of Vol",h10c!$A$4,"ServiceLength","5-9")</f>
        <v>53</v>
      </c>
      <c r="F11" s="197">
        <f t="shared" si="0"/>
        <v>986</v>
      </c>
    </row>
    <row r="12" spans="1:6" x14ac:dyDescent="0.25">
      <c r="A12" s="465" t="s">
        <v>188</v>
      </c>
      <c r="B12" s="61">
        <f>GETPIVOTDATA("Sum of WT",h10c!$A$4,"ServiceLength","10-14")</f>
        <v>879</v>
      </c>
      <c r="C12" s="61">
        <f>GETPIVOTDATA("Sum of RDS",h10c!$A$4,"ServiceLength","10-14")</f>
        <v>442</v>
      </c>
      <c r="D12" s="61">
        <f>GETPIVOTDATA("Sum of Control",h10c!$A$4,"ServiceLength","10-14")</f>
        <v>30</v>
      </c>
      <c r="E12" s="119">
        <f>GETPIVOTDATA("Sum of Vol",h10c!$A$4,"ServiceLength","10-14")</f>
        <v>47</v>
      </c>
      <c r="F12" s="197">
        <f t="shared" si="0"/>
        <v>1398</v>
      </c>
    </row>
    <row r="13" spans="1:6" x14ac:dyDescent="0.25">
      <c r="A13" s="465" t="s">
        <v>189</v>
      </c>
      <c r="B13" s="61">
        <f>GETPIVOTDATA("Sum of WT",h10c!$A$4,"ServiceLength","15-19")</f>
        <v>781</v>
      </c>
      <c r="C13" s="61">
        <f>GETPIVOTDATA("Sum of RDS",h10c!$A$4,"ServiceLength","15-19")</f>
        <v>405</v>
      </c>
      <c r="D13" s="61">
        <f>GETPIVOTDATA("Sum of Control",h10c!$A$4,"ServiceLength","15-19")</f>
        <v>19</v>
      </c>
      <c r="E13" s="119">
        <f>GETPIVOTDATA("Sum of Vol",h10c!$A$4,"ServiceLength","15-19")</f>
        <v>54</v>
      </c>
      <c r="F13" s="197">
        <f t="shared" si="0"/>
        <v>1259</v>
      </c>
    </row>
    <row r="14" spans="1:6" x14ac:dyDescent="0.25">
      <c r="A14" s="465" t="s">
        <v>108</v>
      </c>
      <c r="B14" s="61">
        <f>GETPIVOTDATA("Sum of WT",h10c!$A$4,"ServiceLength","20-24")</f>
        <v>589</v>
      </c>
      <c r="C14" s="61">
        <f>GETPIVOTDATA("Sum of RDS",h10c!$A$4,"ServiceLength","20-24")</f>
        <v>294</v>
      </c>
      <c r="D14" s="61">
        <f>GETPIVOTDATA("Sum of Control",h10c!$A$4,"ServiceLength","20-24")</f>
        <v>18</v>
      </c>
      <c r="E14" s="119">
        <f>GETPIVOTDATA("Sum of Vol",h10c!$A$4,"ServiceLength","20-24")</f>
        <v>25</v>
      </c>
      <c r="F14" s="197">
        <f t="shared" si="0"/>
        <v>926</v>
      </c>
    </row>
    <row r="15" spans="1:6" x14ac:dyDescent="0.25">
      <c r="A15" s="465" t="s">
        <v>109</v>
      </c>
      <c r="B15" s="61">
        <f>GETPIVOTDATA("Sum of WT",h10c!$A$4,"ServiceLength","25-29")</f>
        <v>551</v>
      </c>
      <c r="C15" s="61">
        <f>GETPIVOTDATA("Sum of RDS",h10c!$A$4,"ServiceLength","25-29")</f>
        <v>248</v>
      </c>
      <c r="D15" s="61">
        <f>GETPIVOTDATA("Sum of Control",h10c!$A$4,"ServiceLength","25-29")</f>
        <v>19</v>
      </c>
      <c r="E15" s="119">
        <f>GETPIVOTDATA("Sum of Vol",h10c!$A$4,"ServiceLength","25-29")</f>
        <v>22</v>
      </c>
      <c r="F15" s="197">
        <f t="shared" si="0"/>
        <v>840</v>
      </c>
    </row>
    <row r="16" spans="1:6" x14ac:dyDescent="0.25">
      <c r="A16" s="465" t="s">
        <v>110</v>
      </c>
      <c r="B16" s="61">
        <f>GETPIVOTDATA("Sum of WT",h10c!$A$4,"ServiceLength","30-34")</f>
        <v>99</v>
      </c>
      <c r="C16" s="61">
        <f>GETPIVOTDATA("Sum of RDS",h10c!$A$4,"ServiceLength","30-34")</f>
        <v>158</v>
      </c>
      <c r="D16" s="61">
        <f>GETPIVOTDATA("Sum of Control",h10c!$A$4,"ServiceLength","30-34")</f>
        <v>19</v>
      </c>
      <c r="E16" s="119">
        <f>GETPIVOTDATA("Sum of Vol",h10c!$A$4,"ServiceLength","30-34")</f>
        <v>15</v>
      </c>
      <c r="F16" s="197">
        <f t="shared" si="0"/>
        <v>291</v>
      </c>
    </row>
    <row r="17" spans="1:6" x14ac:dyDescent="0.25">
      <c r="A17" s="465" t="s">
        <v>111</v>
      </c>
      <c r="B17" s="61">
        <f>GETPIVOTDATA("Sum of WT",h10c!$A$4,"ServiceLength","35-39")</f>
        <v>4</v>
      </c>
      <c r="C17" s="61">
        <f>GETPIVOTDATA("Sum of RDS",h10c!$A$4,"ServiceLength","35-39")</f>
        <v>53</v>
      </c>
      <c r="D17" s="61">
        <f>GETPIVOTDATA("Sum of Control",h10c!$A$4,"ServiceLength","35-39")</f>
        <v>9</v>
      </c>
      <c r="E17" s="119">
        <f>GETPIVOTDATA("Sum of Vol",h10c!$A$4,"ServiceLength","35-39")</f>
        <v>1</v>
      </c>
      <c r="F17" s="197">
        <f t="shared" si="0"/>
        <v>67</v>
      </c>
    </row>
    <row r="18" spans="1:6" x14ac:dyDescent="0.25">
      <c r="A18" s="465" t="s">
        <v>190</v>
      </c>
      <c r="B18" s="61">
        <f>GETPIVOTDATA("Sum of WT",h10c!$A$4,"ServiceLength","Over 40")</f>
        <v>3</v>
      </c>
      <c r="C18" s="61">
        <f>GETPIVOTDATA("Sum of RDS",h10c!$A$4,"ServiceLength","Over 40")</f>
        <v>23</v>
      </c>
      <c r="D18" s="61">
        <f>GETPIVOTDATA("Sum of Control",h10c!$A$4,"ServiceLength","Over 40")</f>
        <v>4</v>
      </c>
      <c r="E18" s="119">
        <f>GETPIVOTDATA("Sum of Vol",h10c!$A$4,"ServiceLength","Over 40")</f>
        <v>4</v>
      </c>
      <c r="F18" s="197">
        <f t="shared" si="0"/>
        <v>34</v>
      </c>
    </row>
    <row r="19" spans="1:6" ht="15.75" thickBot="1" x14ac:dyDescent="0.3">
      <c r="A19" s="199" t="s">
        <v>17</v>
      </c>
      <c r="B19" s="200">
        <f>SUM(B10:B18)</f>
        <v>3637</v>
      </c>
      <c r="C19" s="200">
        <f>SUM(C10:C18)</f>
        <v>2953</v>
      </c>
      <c r="D19" s="200">
        <f>SUM(D10:D18)</f>
        <v>207</v>
      </c>
      <c r="E19" s="200">
        <f>SUM(E10:E18)</f>
        <v>317</v>
      </c>
      <c r="F19" s="200">
        <f>SUM(F10:F18)</f>
        <v>7114</v>
      </c>
    </row>
    <row r="21" spans="1:6" ht="15" customHeight="1" x14ac:dyDescent="0.25">
      <c r="A21" s="466" t="s">
        <v>8</v>
      </c>
    </row>
    <row r="22" spans="1:6" ht="15" customHeight="1" x14ac:dyDescent="0.25">
      <c r="A22" t="s">
        <v>564</v>
      </c>
    </row>
    <row r="23" spans="1:6" ht="30" customHeight="1" x14ac:dyDescent="0.25">
      <c r="A23" s="999" t="s">
        <v>239</v>
      </c>
      <c r="B23" s="999"/>
      <c r="C23" s="999"/>
      <c r="D23" s="999"/>
      <c r="E23" s="999"/>
      <c r="F23" s="999"/>
    </row>
    <row r="24" spans="1:6" x14ac:dyDescent="0.25">
      <c r="A24" t="s">
        <v>238</v>
      </c>
    </row>
    <row r="25" spans="1:6" x14ac:dyDescent="0.25">
      <c r="A25" t="s">
        <v>563</v>
      </c>
    </row>
    <row r="27" spans="1:6" ht="17.25" customHeight="1" x14ac:dyDescent="0.25">
      <c r="A27" s="1004" t="s">
        <v>560</v>
      </c>
      <c r="B27" s="1004"/>
      <c r="C27" s="1004"/>
      <c r="D27" s="1004"/>
      <c r="E27" s="1004"/>
      <c r="F27" s="1004"/>
    </row>
    <row r="28" spans="1:6" ht="15" customHeight="1" x14ac:dyDescent="0.25">
      <c r="A28" t="s">
        <v>559</v>
      </c>
      <c r="B28" s="631"/>
      <c r="C28" s="631"/>
      <c r="D28" s="631"/>
      <c r="E28" s="631"/>
      <c r="F28" s="631"/>
    </row>
    <row r="29" spans="1:6" ht="15" customHeight="1" x14ac:dyDescent="0.25">
      <c r="A29" t="s">
        <v>368</v>
      </c>
      <c r="B29" t="s">
        <v>790</v>
      </c>
      <c r="C29" s="631"/>
      <c r="D29" s="631"/>
      <c r="E29" s="631"/>
      <c r="F29" s="631"/>
    </row>
    <row r="30" spans="1:6" ht="15" customHeight="1" x14ac:dyDescent="0.25">
      <c r="A30" t="s">
        <v>369</v>
      </c>
      <c r="B30" t="s">
        <v>371</v>
      </c>
      <c r="C30" s="631"/>
      <c r="D30" s="631"/>
      <c r="E30" s="631"/>
      <c r="F30" s="631"/>
    </row>
    <row r="31" spans="1:6" ht="15" customHeight="1" x14ac:dyDescent="0.25">
      <c r="A31" t="s">
        <v>370</v>
      </c>
      <c r="B31" t="s">
        <v>372</v>
      </c>
      <c r="C31" s="631"/>
      <c r="D31" s="631"/>
      <c r="E31" s="631"/>
      <c r="F31" s="631"/>
    </row>
    <row r="32" spans="1:6" ht="36.75" customHeight="1" x14ac:dyDescent="0.25">
      <c r="A32" s="19" t="s">
        <v>191</v>
      </c>
      <c r="B32" s="202" t="s">
        <v>92</v>
      </c>
      <c r="C32" s="202" t="s">
        <v>28</v>
      </c>
      <c r="D32" s="202" t="s">
        <v>2</v>
      </c>
      <c r="E32" s="202" t="s">
        <v>29</v>
      </c>
      <c r="F32" s="3" t="s">
        <v>414</v>
      </c>
    </row>
    <row r="33" spans="1:6" x14ac:dyDescent="0.25">
      <c r="A33" s="196" t="s">
        <v>186</v>
      </c>
      <c r="B33" s="204">
        <f t="shared" ref="B33:F41" si="1">B10/B$19</f>
        <v>0.11163046466868298</v>
      </c>
      <c r="C33" s="204">
        <f t="shared" si="1"/>
        <v>0.25364036572976634</v>
      </c>
      <c r="D33" s="204">
        <f t="shared" si="1"/>
        <v>0.29951690821256038</v>
      </c>
      <c r="E33" s="204">
        <f t="shared" si="1"/>
        <v>0.30283911671924291</v>
      </c>
      <c r="F33" s="205">
        <f t="shared" si="1"/>
        <v>0.18456564520663479</v>
      </c>
    </row>
    <row r="34" spans="1:6" x14ac:dyDescent="0.25">
      <c r="A34" s="465" t="s">
        <v>187</v>
      </c>
      <c r="B34" s="204">
        <f t="shared" si="1"/>
        <v>8.9359362111630466E-2</v>
      </c>
      <c r="C34" s="204">
        <f t="shared" si="1"/>
        <v>0.19674906874365053</v>
      </c>
      <c r="D34" s="204">
        <f t="shared" si="1"/>
        <v>0.13043478260869565</v>
      </c>
      <c r="E34" s="204">
        <f t="shared" si="1"/>
        <v>0.16719242902208201</v>
      </c>
      <c r="F34" s="205">
        <f t="shared" si="1"/>
        <v>0.13859994377284229</v>
      </c>
    </row>
    <row r="35" spans="1:6" x14ac:dyDescent="0.25">
      <c r="A35" s="465" t="s">
        <v>188</v>
      </c>
      <c r="B35" s="204">
        <f t="shared" si="1"/>
        <v>0.24168270552653287</v>
      </c>
      <c r="C35" s="204">
        <f t="shared" si="1"/>
        <v>0.14967829326109042</v>
      </c>
      <c r="D35" s="204">
        <f t="shared" si="1"/>
        <v>0.14492753623188406</v>
      </c>
      <c r="E35" s="204">
        <f t="shared" si="1"/>
        <v>0.14826498422712933</v>
      </c>
      <c r="F35" s="205">
        <f t="shared" si="1"/>
        <v>0.196513916221535</v>
      </c>
    </row>
    <row r="36" spans="1:6" x14ac:dyDescent="0.25">
      <c r="A36" s="465" t="s">
        <v>189</v>
      </c>
      <c r="B36" s="204">
        <f t="shared" si="1"/>
        <v>0.21473742095133352</v>
      </c>
      <c r="C36" s="204">
        <f t="shared" si="1"/>
        <v>0.13714866237724349</v>
      </c>
      <c r="D36" s="204">
        <f t="shared" si="1"/>
        <v>9.1787439613526575E-2</v>
      </c>
      <c r="E36" s="204">
        <f t="shared" si="1"/>
        <v>0.17034700315457413</v>
      </c>
      <c r="F36" s="205">
        <f t="shared" si="1"/>
        <v>0.17697497891481587</v>
      </c>
    </row>
    <row r="37" spans="1:6" x14ac:dyDescent="0.25">
      <c r="A37" s="465" t="s">
        <v>108</v>
      </c>
      <c r="B37" s="204">
        <f t="shared" si="1"/>
        <v>0.16194665933461644</v>
      </c>
      <c r="C37" s="204">
        <f t="shared" si="1"/>
        <v>9.9559769725702671E-2</v>
      </c>
      <c r="D37" s="204">
        <f t="shared" si="1"/>
        <v>8.6956521739130432E-2</v>
      </c>
      <c r="E37" s="204">
        <f t="shared" si="1"/>
        <v>7.8864353312302835E-2</v>
      </c>
      <c r="F37" s="205">
        <f t="shared" si="1"/>
        <v>0.13016587011526567</v>
      </c>
    </row>
    <row r="38" spans="1:6" x14ac:dyDescent="0.25">
      <c r="A38" s="465" t="s">
        <v>109</v>
      </c>
      <c r="B38" s="204">
        <f t="shared" si="1"/>
        <v>0.1514984877646412</v>
      </c>
      <c r="C38" s="204">
        <f t="shared" si="1"/>
        <v>8.3982390789028111E-2</v>
      </c>
      <c r="D38" s="204">
        <f t="shared" si="1"/>
        <v>9.1787439613526575E-2</v>
      </c>
      <c r="E38" s="204">
        <f t="shared" si="1"/>
        <v>6.9400630914826497E-2</v>
      </c>
      <c r="F38" s="205">
        <f t="shared" si="1"/>
        <v>0.11807703120607253</v>
      </c>
    </row>
    <row r="39" spans="1:6" x14ac:dyDescent="0.25">
      <c r="A39" s="465" t="s">
        <v>110</v>
      </c>
      <c r="B39" s="204">
        <f t="shared" si="1"/>
        <v>2.7220236458619741E-2</v>
      </c>
      <c r="C39" s="204">
        <f t="shared" si="1"/>
        <v>5.3504910260751777E-2</v>
      </c>
      <c r="D39" s="204">
        <f t="shared" si="1"/>
        <v>9.1787439613526575E-2</v>
      </c>
      <c r="E39" s="204">
        <f t="shared" si="1"/>
        <v>4.7318611987381701E-2</v>
      </c>
      <c r="F39" s="205">
        <f t="shared" si="1"/>
        <v>4.0905257239246554E-2</v>
      </c>
    </row>
    <row r="40" spans="1:6" x14ac:dyDescent="0.25">
      <c r="A40" s="465" t="s">
        <v>111</v>
      </c>
      <c r="B40" s="204">
        <f t="shared" si="1"/>
        <v>1.0998075336816058E-3</v>
      </c>
      <c r="C40" s="204">
        <f t="shared" si="1"/>
        <v>1.7947849644429394E-2</v>
      </c>
      <c r="D40" s="204">
        <f t="shared" si="1"/>
        <v>4.3478260869565216E-2</v>
      </c>
      <c r="E40" s="204">
        <f t="shared" si="1"/>
        <v>3.1545741324921135E-3</v>
      </c>
      <c r="F40" s="205">
        <f t="shared" si="1"/>
        <v>9.4180489176272138E-3</v>
      </c>
    </row>
    <row r="41" spans="1:6" x14ac:dyDescent="0.25">
      <c r="A41" s="465" t="s">
        <v>190</v>
      </c>
      <c r="B41" s="204">
        <f t="shared" si="1"/>
        <v>8.2485565026120425E-4</v>
      </c>
      <c r="C41" s="204">
        <f t="shared" si="1"/>
        <v>7.7886894683372844E-3</v>
      </c>
      <c r="D41" s="204">
        <f t="shared" si="1"/>
        <v>1.932367149758454E-2</v>
      </c>
      <c r="E41" s="204">
        <f t="shared" si="1"/>
        <v>1.2618296529968454E-2</v>
      </c>
      <c r="F41" s="205">
        <f t="shared" si="1"/>
        <v>4.7793084059600784E-3</v>
      </c>
    </row>
    <row r="42" spans="1:6" ht="15.75" thickBot="1" x14ac:dyDescent="0.3">
      <c r="A42" s="199" t="s">
        <v>17</v>
      </c>
      <c r="B42" s="208">
        <f>SUM(B33:B41)</f>
        <v>1</v>
      </c>
      <c r="C42" s="208">
        <f>SUM(C33:C41)</f>
        <v>1</v>
      </c>
      <c r="D42" s="208">
        <f>SUM(D33:D41)</f>
        <v>0.99999999999999989</v>
      </c>
      <c r="E42" s="208">
        <f>SUM(E33:E41)</f>
        <v>1</v>
      </c>
      <c r="F42" s="208">
        <f>SUM(F33:F41)</f>
        <v>1</v>
      </c>
    </row>
    <row r="43" spans="1:6" x14ac:dyDescent="0.25">
      <c r="A43" s="203"/>
      <c r="B43" s="209"/>
      <c r="C43" s="209"/>
      <c r="D43" s="209"/>
    </row>
    <row r="44" spans="1:6" x14ac:dyDescent="0.25">
      <c r="A44" s="466" t="s">
        <v>8</v>
      </c>
      <c r="B44" s="45"/>
      <c r="C44" s="45"/>
      <c r="D44" s="45"/>
    </row>
    <row r="45" spans="1:6" ht="15" customHeight="1" x14ac:dyDescent="0.25">
      <c r="A45" s="999" t="s">
        <v>562</v>
      </c>
      <c r="B45" s="999"/>
      <c r="C45" s="999"/>
      <c r="D45" s="999"/>
      <c r="E45" s="999"/>
      <c r="F45" s="999"/>
    </row>
    <row r="46" spans="1:6" ht="30" customHeight="1" x14ac:dyDescent="0.25">
      <c r="A46" s="999" t="s">
        <v>239</v>
      </c>
      <c r="B46" s="999"/>
      <c r="C46" s="999"/>
      <c r="D46" s="999"/>
      <c r="E46" s="999"/>
      <c r="F46" s="999"/>
    </row>
    <row r="47" spans="1:6" x14ac:dyDescent="0.25">
      <c r="A47" s="499" t="s">
        <v>238</v>
      </c>
      <c r="B47" s="201"/>
      <c r="C47" s="201"/>
      <c r="D47" s="201"/>
      <c r="E47" s="739"/>
      <c r="F47" s="42"/>
    </row>
    <row r="48" spans="1:6" x14ac:dyDescent="0.25">
      <c r="A48" t="s">
        <v>563</v>
      </c>
      <c r="B48" s="201"/>
      <c r="C48" s="201"/>
      <c r="D48" s="201"/>
      <c r="E48" s="739"/>
      <c r="F48" s="42"/>
    </row>
  </sheetData>
  <sheetProtection algorithmName="SHA-512" hashValue="W3K0MMctL/OmtE5GeUVbnn7VrT99NvWQ4zNL961yCnf9PumgA5RyNDDm1VwHVDI0732V3yM7tCZArqx1W6FiXQ==" saltValue="KOIpFlSi419mL4xcI/W5eQ==" spinCount="100000" sheet="1" scenarios="1" pivotTables="0"/>
  <mergeCells count="6">
    <mergeCell ref="A1:C1"/>
    <mergeCell ref="A46:F46"/>
    <mergeCell ref="A45:F45"/>
    <mergeCell ref="A4:F4"/>
    <mergeCell ref="A27:F27"/>
    <mergeCell ref="A23:F23"/>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7" orientation="portrait" r:id="rId1"/>
  <ignoredErrors>
    <ignoredError sqref="B12:E12" twoDigitTextYear="1"/>
  </ignoredErrors>
  <drawing r:id="rId2"/>
  <extLst>
    <ext xmlns:x14="http://schemas.microsoft.com/office/spreadsheetml/2009/9/main" uri="{A8765BA9-456A-4dab-B4F3-ACF838C121DE}">
      <x14:slicerList>
        <x14:slicer r:id="rId3"/>
      </x14:slicerList>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9" tint="0.39997558519241921"/>
  </sheetPr>
  <dimension ref="A2:E14"/>
  <sheetViews>
    <sheetView workbookViewId="0">
      <selection activeCell="A4" sqref="A4"/>
    </sheetView>
  </sheetViews>
  <sheetFormatPr defaultRowHeight="15" x14ac:dyDescent="0.25"/>
  <cols>
    <col min="1" max="1" width="13.140625" bestFit="1" customWidth="1"/>
    <col min="2" max="2" width="10.5703125" customWidth="1"/>
    <col min="3" max="3" width="11" bestFit="1" customWidth="1"/>
    <col min="4" max="4" width="14.28515625" bestFit="1" customWidth="1"/>
    <col min="5" max="5" width="10.5703125" bestFit="1" customWidth="1"/>
    <col min="6" max="6" width="12" bestFit="1" customWidth="1"/>
  </cols>
  <sheetData>
    <row r="2" spans="1:5" x14ac:dyDescent="0.25">
      <c r="A2" s="569" t="s">
        <v>274</v>
      </c>
      <c r="B2" t="s">
        <v>258</v>
      </c>
    </row>
    <row r="4" spans="1:5" x14ac:dyDescent="0.25">
      <c r="A4" s="569" t="s">
        <v>250</v>
      </c>
      <c r="B4" t="s">
        <v>257</v>
      </c>
      <c r="C4" t="s">
        <v>264</v>
      </c>
      <c r="D4" t="s">
        <v>265</v>
      </c>
      <c r="E4" t="s">
        <v>267</v>
      </c>
    </row>
    <row r="5" spans="1:5" x14ac:dyDescent="0.25">
      <c r="A5" s="986" t="s">
        <v>188</v>
      </c>
      <c r="B5" s="571">
        <v>879</v>
      </c>
      <c r="C5" s="571">
        <v>442</v>
      </c>
      <c r="D5" s="571">
        <v>30</v>
      </c>
      <c r="E5" s="571">
        <v>47</v>
      </c>
    </row>
    <row r="6" spans="1:5" x14ac:dyDescent="0.25">
      <c r="A6" s="986" t="s">
        <v>189</v>
      </c>
      <c r="B6" s="571">
        <v>781</v>
      </c>
      <c r="C6" s="571">
        <v>405</v>
      </c>
      <c r="D6" s="571">
        <v>19</v>
      </c>
      <c r="E6" s="571">
        <v>54</v>
      </c>
    </row>
    <row r="7" spans="1:5" x14ac:dyDescent="0.25">
      <c r="A7" s="986" t="s">
        <v>108</v>
      </c>
      <c r="B7" s="571">
        <v>589</v>
      </c>
      <c r="C7" s="571">
        <v>294</v>
      </c>
      <c r="D7" s="571">
        <v>18</v>
      </c>
      <c r="E7" s="571">
        <v>25</v>
      </c>
    </row>
    <row r="8" spans="1:5" x14ac:dyDescent="0.25">
      <c r="A8" s="986" t="s">
        <v>109</v>
      </c>
      <c r="B8" s="571">
        <v>551</v>
      </c>
      <c r="C8" s="571">
        <v>248</v>
      </c>
      <c r="D8" s="571">
        <v>19</v>
      </c>
      <c r="E8" s="571">
        <v>22</v>
      </c>
    </row>
    <row r="9" spans="1:5" x14ac:dyDescent="0.25">
      <c r="A9" s="986" t="s">
        <v>110</v>
      </c>
      <c r="B9" s="571">
        <v>99</v>
      </c>
      <c r="C9" s="571">
        <v>158</v>
      </c>
      <c r="D9" s="571">
        <v>19</v>
      </c>
      <c r="E9" s="571">
        <v>15</v>
      </c>
    </row>
    <row r="10" spans="1:5" x14ac:dyDescent="0.25">
      <c r="A10" s="986" t="s">
        <v>111</v>
      </c>
      <c r="B10" s="571">
        <v>4</v>
      </c>
      <c r="C10" s="571">
        <v>53</v>
      </c>
      <c r="D10" s="571">
        <v>9</v>
      </c>
      <c r="E10" s="571">
        <v>1</v>
      </c>
    </row>
    <row r="11" spans="1:5" x14ac:dyDescent="0.25">
      <c r="A11" s="986" t="s">
        <v>187</v>
      </c>
      <c r="B11" s="571">
        <v>325</v>
      </c>
      <c r="C11" s="571">
        <v>581</v>
      </c>
      <c r="D11" s="571">
        <v>27</v>
      </c>
      <c r="E11" s="571">
        <v>53</v>
      </c>
    </row>
    <row r="12" spans="1:5" x14ac:dyDescent="0.25">
      <c r="A12" s="986" t="s">
        <v>327</v>
      </c>
      <c r="B12" s="571">
        <v>3</v>
      </c>
      <c r="C12" s="571">
        <v>23</v>
      </c>
      <c r="D12" s="571">
        <v>4</v>
      </c>
      <c r="E12" s="571">
        <v>4</v>
      </c>
    </row>
    <row r="13" spans="1:5" x14ac:dyDescent="0.25">
      <c r="A13" s="986" t="s">
        <v>328</v>
      </c>
      <c r="B13" s="571">
        <v>406</v>
      </c>
      <c r="C13" s="571">
        <v>749</v>
      </c>
      <c r="D13" s="571">
        <v>62</v>
      </c>
      <c r="E13" s="571">
        <v>96</v>
      </c>
    </row>
    <row r="14" spans="1:5" x14ac:dyDescent="0.25">
      <c r="A14" s="986" t="s">
        <v>255</v>
      </c>
      <c r="B14" s="571">
        <v>3637</v>
      </c>
      <c r="C14" s="571">
        <v>2953</v>
      </c>
      <c r="D14" s="571">
        <v>207</v>
      </c>
      <c r="E14" s="571">
        <v>317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39997558519241921"/>
    <pageSetUpPr fitToPage="1"/>
  </sheetPr>
  <dimension ref="A1:V22"/>
  <sheetViews>
    <sheetView showGridLines="0" workbookViewId="0">
      <pane ySplit="2" topLeftCell="A3" activePane="bottomLeft" state="frozen"/>
      <selection sqref="A1:C1"/>
      <selection pane="bottomLeft" sqref="A1:C1"/>
    </sheetView>
  </sheetViews>
  <sheetFormatPr defaultRowHeight="14.25" x14ac:dyDescent="0.2"/>
  <cols>
    <col min="1" max="1" width="17.140625" style="493" customWidth="1"/>
    <col min="2" max="22" width="8.85546875" style="493" customWidth="1"/>
    <col min="23" max="16384" width="9.140625" style="493"/>
  </cols>
  <sheetData>
    <row r="1" spans="1:22" ht="15.75" x14ac:dyDescent="0.2">
      <c r="A1" s="993" t="s">
        <v>523</v>
      </c>
      <c r="B1" s="993"/>
      <c r="C1" s="993"/>
    </row>
    <row r="2" spans="1:22" ht="15" x14ac:dyDescent="0.25">
      <c r="A2" s="790" t="s">
        <v>598</v>
      </c>
      <c r="B2"/>
      <c r="C2"/>
    </row>
    <row r="4" spans="1:22" ht="30" customHeight="1" x14ac:dyDescent="0.2">
      <c r="A4" s="1018" t="s">
        <v>565</v>
      </c>
      <c r="B4" s="1018"/>
      <c r="C4" s="1018"/>
      <c r="D4" s="1018"/>
      <c r="E4" s="1018"/>
      <c r="F4" s="1018"/>
      <c r="G4" s="1018"/>
      <c r="H4" s="1018"/>
      <c r="I4" s="1018"/>
      <c r="J4" s="1018"/>
      <c r="K4" s="1018"/>
      <c r="L4" s="1018"/>
      <c r="M4" s="1018"/>
      <c r="N4" s="1018"/>
      <c r="O4" s="1018"/>
      <c r="P4" s="1018"/>
      <c r="Q4" s="1018"/>
      <c r="R4" s="1018"/>
      <c r="S4" s="1018"/>
      <c r="T4" s="1018"/>
      <c r="U4" s="1018"/>
      <c r="V4" s="1018"/>
    </row>
    <row r="5" spans="1:22" ht="15" customHeight="1" x14ac:dyDescent="0.25">
      <c r="A5" t="s">
        <v>368</v>
      </c>
      <c r="B5" t="s">
        <v>791</v>
      </c>
      <c r="C5" s="638"/>
      <c r="D5" s="638"/>
      <c r="E5" s="638"/>
      <c r="F5" s="638"/>
      <c r="G5" s="638"/>
      <c r="H5" s="638"/>
      <c r="I5" s="638"/>
      <c r="J5" s="638"/>
      <c r="K5" s="638"/>
      <c r="L5" s="638"/>
      <c r="M5" s="638"/>
      <c r="N5" s="638"/>
      <c r="O5" s="638"/>
      <c r="P5" s="638"/>
      <c r="Q5" s="638"/>
      <c r="R5" s="638"/>
      <c r="S5" s="638"/>
      <c r="T5" s="638"/>
      <c r="U5" s="638"/>
      <c r="V5" s="638"/>
    </row>
    <row r="6" spans="1:22" ht="15" customHeight="1" x14ac:dyDescent="0.25">
      <c r="A6" t="s">
        <v>369</v>
      </c>
      <c r="B6" t="s">
        <v>371</v>
      </c>
      <c r="C6" s="638"/>
      <c r="D6" s="638"/>
      <c r="E6" s="638"/>
      <c r="F6" s="638"/>
      <c r="G6" s="638"/>
      <c r="H6" s="638"/>
      <c r="I6" s="638"/>
      <c r="J6" s="638"/>
      <c r="K6" s="638"/>
      <c r="L6" s="638"/>
      <c r="M6" s="638"/>
      <c r="N6" s="638"/>
      <c r="O6" s="638"/>
      <c r="P6" s="638"/>
      <c r="Q6" s="638"/>
      <c r="R6" s="638"/>
      <c r="S6" s="638"/>
      <c r="T6" s="638"/>
      <c r="U6" s="638"/>
      <c r="V6" s="638"/>
    </row>
    <row r="7" spans="1:22" ht="15" customHeight="1" x14ac:dyDescent="0.25">
      <c r="A7" t="s">
        <v>370</v>
      </c>
      <c r="B7" t="s">
        <v>372</v>
      </c>
      <c r="C7" s="638"/>
      <c r="D7" s="638"/>
      <c r="E7" s="638"/>
      <c r="F7" s="638"/>
      <c r="G7" s="638"/>
      <c r="H7" s="638"/>
      <c r="I7" s="638"/>
      <c r="J7" s="638"/>
      <c r="K7" s="638"/>
      <c r="L7" s="638"/>
      <c r="M7" s="638"/>
      <c r="N7" s="638"/>
      <c r="O7" s="638"/>
      <c r="P7" s="638"/>
      <c r="Q7" s="638"/>
      <c r="R7" s="638"/>
      <c r="S7" s="638"/>
      <c r="T7" s="638"/>
      <c r="U7" s="638"/>
      <c r="V7" s="638"/>
    </row>
    <row r="8" spans="1:22" ht="15" customHeight="1" x14ac:dyDescent="0.25">
      <c r="A8"/>
      <c r="B8"/>
      <c r="C8" s="967"/>
      <c r="D8" s="967"/>
      <c r="E8" s="967"/>
      <c r="F8" s="967"/>
      <c r="G8" s="967"/>
      <c r="H8" s="967"/>
      <c r="I8" s="967"/>
      <c r="J8" s="967"/>
      <c r="K8" s="967"/>
      <c r="L8" s="967"/>
      <c r="M8" s="967"/>
      <c r="N8" s="967"/>
      <c r="O8" s="967"/>
      <c r="P8" s="967"/>
      <c r="Q8" s="967"/>
      <c r="R8" s="967"/>
      <c r="S8" s="967"/>
      <c r="T8" s="967"/>
      <c r="U8" s="967"/>
      <c r="V8" s="967"/>
    </row>
    <row r="9" spans="1:22" ht="27" customHeight="1" x14ac:dyDescent="0.2">
      <c r="A9" s="220"/>
      <c r="B9" s="1019" t="s">
        <v>27</v>
      </c>
      <c r="C9" s="1019"/>
      <c r="D9" s="1019"/>
      <c r="E9" s="1019" t="s">
        <v>28</v>
      </c>
      <c r="F9" s="1019"/>
      <c r="G9" s="1019"/>
      <c r="H9" s="1019" t="s">
        <v>2</v>
      </c>
      <c r="I9" s="1019"/>
      <c r="J9" s="1019"/>
      <c r="K9" s="1019" t="s">
        <v>93</v>
      </c>
      <c r="L9" s="1019"/>
      <c r="M9" s="1019"/>
      <c r="N9" s="1019" t="s">
        <v>29</v>
      </c>
      <c r="O9" s="1019"/>
      <c r="P9" s="1019"/>
      <c r="Q9" s="1019" t="s">
        <v>26</v>
      </c>
      <c r="R9" s="1019"/>
      <c r="S9" s="1019"/>
      <c r="T9" s="1019" t="s">
        <v>119</v>
      </c>
      <c r="U9" s="1019"/>
      <c r="V9" s="1019"/>
    </row>
    <row r="10" spans="1:22" ht="25.5" x14ac:dyDescent="0.2">
      <c r="A10" s="640" t="s">
        <v>1</v>
      </c>
      <c r="B10" s="740" t="s">
        <v>120</v>
      </c>
      <c r="C10" s="222" t="s">
        <v>121</v>
      </c>
      <c r="D10" s="741" t="s">
        <v>392</v>
      </c>
      <c r="E10" s="740" t="s">
        <v>120</v>
      </c>
      <c r="F10" s="222" t="s">
        <v>121</v>
      </c>
      <c r="G10" s="741" t="s">
        <v>392</v>
      </c>
      <c r="H10" s="740" t="s">
        <v>120</v>
      </c>
      <c r="I10" s="222" t="s">
        <v>121</v>
      </c>
      <c r="J10" s="741" t="s">
        <v>392</v>
      </c>
      <c r="K10" s="740" t="s">
        <v>120</v>
      </c>
      <c r="L10" s="222" t="s">
        <v>121</v>
      </c>
      <c r="M10" s="741" t="s">
        <v>392</v>
      </c>
      <c r="N10" s="740" t="s">
        <v>120</v>
      </c>
      <c r="O10" s="222" t="s">
        <v>121</v>
      </c>
      <c r="P10" s="741" t="s">
        <v>392</v>
      </c>
      <c r="Q10" s="740" t="s">
        <v>120</v>
      </c>
      <c r="R10" s="222" t="s">
        <v>121</v>
      </c>
      <c r="S10" s="741" t="s">
        <v>392</v>
      </c>
      <c r="T10" s="740" t="s">
        <v>120</v>
      </c>
      <c r="U10" s="222" t="s">
        <v>121</v>
      </c>
      <c r="V10" s="741" t="s">
        <v>392</v>
      </c>
    </row>
    <row r="11" spans="1:22" ht="22.5" customHeight="1" x14ac:dyDescent="0.2">
      <c r="A11" s="224" t="str">
        <f>'T11'!$A$5</f>
        <v>2011-12</v>
      </c>
      <c r="B11" s="742">
        <f>'h11'!T7</f>
        <v>72.2</v>
      </c>
      <c r="C11" s="743">
        <f>'h11'!U7</f>
        <v>0.8</v>
      </c>
      <c r="D11" s="744">
        <f>'h11'!V7</f>
        <v>27.1</v>
      </c>
      <c r="E11" s="752">
        <f>'h11'!E7</f>
        <v>81.8</v>
      </c>
      <c r="F11" s="743">
        <f>'h11'!F7</f>
        <v>0.2</v>
      </c>
      <c r="G11" s="744">
        <f>'h11'!G7</f>
        <v>18</v>
      </c>
      <c r="H11" s="753">
        <f>'h11'!B7</f>
        <v>84.6</v>
      </c>
      <c r="I11" s="434">
        <f>'h11'!C7</f>
        <v>0.4</v>
      </c>
      <c r="J11" s="754">
        <f>'h11'!D7</f>
        <v>15</v>
      </c>
      <c r="K11" s="753">
        <f>'h11'!H7</f>
        <v>65.5</v>
      </c>
      <c r="L11" s="434">
        <f>'h11'!I7</f>
        <v>1</v>
      </c>
      <c r="M11" s="754">
        <f>'h11'!J7</f>
        <v>33.5</v>
      </c>
      <c r="N11" s="753">
        <f>'h11'!Q7</f>
        <v>62.7</v>
      </c>
      <c r="O11" s="434">
        <f>'h11'!R7</f>
        <v>0.2</v>
      </c>
      <c r="P11" s="754">
        <f>'h11'!S7</f>
        <v>37</v>
      </c>
      <c r="Q11" s="757">
        <f>'h11'!K7</f>
        <v>74.400000000000006</v>
      </c>
      <c r="R11" s="436">
        <f>'h11'!L7</f>
        <v>0.6</v>
      </c>
      <c r="S11" s="758">
        <f>'h11'!M7</f>
        <v>25</v>
      </c>
      <c r="T11" s="764">
        <f>'h11'!N7</f>
        <v>75</v>
      </c>
      <c r="U11" s="765">
        <f>'h11'!O7</f>
        <v>0.6</v>
      </c>
      <c r="V11" s="766">
        <f>'h11'!P7</f>
        <v>24.4</v>
      </c>
    </row>
    <row r="12" spans="1:22" ht="15" customHeight="1" x14ac:dyDescent="0.2">
      <c r="A12" s="224" t="str">
        <f>'T11'!$A$12</f>
        <v>2012-13</v>
      </c>
      <c r="B12" s="745">
        <f>'h11'!T8</f>
        <v>81.2</v>
      </c>
      <c r="C12" s="225">
        <f>'h11'!U8</f>
        <v>0.7</v>
      </c>
      <c r="D12" s="746">
        <f>'h11'!V8</f>
        <v>18</v>
      </c>
      <c r="E12" s="745">
        <f>'h11'!E8</f>
        <v>80.900000000000006</v>
      </c>
      <c r="F12" s="225">
        <f>'h11'!F8</f>
        <v>0.2</v>
      </c>
      <c r="G12" s="746">
        <f>'h11'!G8</f>
        <v>18.899999999999999</v>
      </c>
      <c r="H12" s="755">
        <f>'h11'!B8</f>
        <v>89.7</v>
      </c>
      <c r="I12" s="226">
        <f>'h11'!C8</f>
        <v>0.4</v>
      </c>
      <c r="J12" s="756">
        <f>'h11'!D8</f>
        <v>9.8000000000000007</v>
      </c>
      <c r="K12" s="755">
        <f>'h11'!H8</f>
        <v>78.400000000000006</v>
      </c>
      <c r="L12" s="226">
        <f>'h11'!I8</f>
        <v>1</v>
      </c>
      <c r="M12" s="756">
        <f>'h11'!J8</f>
        <v>20.6</v>
      </c>
      <c r="N12" s="755">
        <f>'h11'!Q8</f>
        <v>61.4</v>
      </c>
      <c r="O12" s="226">
        <f>'h11'!R8</f>
        <v>0.5</v>
      </c>
      <c r="P12" s="756">
        <f>'h11'!S8</f>
        <v>38.1</v>
      </c>
      <c r="Q12" s="759">
        <f>'h11'!K8</f>
        <v>80.099999999999994</v>
      </c>
      <c r="R12" s="228">
        <f>'h11'!L8</f>
        <v>0.6</v>
      </c>
      <c r="S12" s="760">
        <f>'h11'!M8</f>
        <v>19.3</v>
      </c>
      <c r="T12" s="767">
        <f>'h11'!N8</f>
        <v>81</v>
      </c>
      <c r="U12" s="229">
        <f>'h11'!O8</f>
        <v>0.6</v>
      </c>
      <c r="V12" s="768">
        <f>'h11'!P8</f>
        <v>18.399999999999999</v>
      </c>
    </row>
    <row r="13" spans="1:22" ht="15" customHeight="1" x14ac:dyDescent="0.2">
      <c r="A13" s="224" t="str">
        <f>'T11'!$A$19</f>
        <v>2013-14</v>
      </c>
      <c r="B13" s="745">
        <f>'h11'!T9</f>
        <v>59.8</v>
      </c>
      <c r="C13" s="225">
        <f>'h11'!U9</f>
        <v>0.6</v>
      </c>
      <c r="D13" s="746">
        <f>'h11'!V9</f>
        <v>39.6</v>
      </c>
      <c r="E13" s="745">
        <f>'h11'!E9</f>
        <v>69.599999999999994</v>
      </c>
      <c r="F13" s="225">
        <f>'h11'!F9</f>
        <v>1.1000000000000001</v>
      </c>
      <c r="G13" s="746">
        <f>'h11'!G9</f>
        <v>29.3</v>
      </c>
      <c r="H13" s="755">
        <f>'h11'!B9</f>
        <v>49.3</v>
      </c>
      <c r="I13" s="226">
        <f>'h11'!C9</f>
        <v>0</v>
      </c>
      <c r="J13" s="756">
        <f>'h11'!D9</f>
        <v>50.7</v>
      </c>
      <c r="K13" s="755">
        <f>'h11'!H9</f>
        <v>55.2</v>
      </c>
      <c r="L13" s="226">
        <f>'h11'!I9</f>
        <v>1</v>
      </c>
      <c r="M13" s="756">
        <f>'h11'!J9</f>
        <v>43.8</v>
      </c>
      <c r="N13" s="755">
        <f>'h11'!Q9</f>
        <v>30.1</v>
      </c>
      <c r="O13" s="226">
        <f>'h11'!R9</f>
        <v>0.6</v>
      </c>
      <c r="P13" s="756">
        <f>'h11'!S9</f>
        <v>69.400000000000006</v>
      </c>
      <c r="Q13" s="759">
        <f>'h11'!K9</f>
        <v>61.1</v>
      </c>
      <c r="R13" s="228">
        <f>'h11'!L9</f>
        <v>0.8</v>
      </c>
      <c r="S13" s="760">
        <f>'h11'!M9</f>
        <v>38.1</v>
      </c>
      <c r="T13" s="767">
        <f>'h11'!N9</f>
        <v>62.5</v>
      </c>
      <c r="U13" s="229">
        <f>'h11'!O9</f>
        <v>0.8</v>
      </c>
      <c r="V13" s="768">
        <f>'h11'!P9</f>
        <v>36.700000000000003</v>
      </c>
    </row>
    <row r="14" spans="1:22" ht="15" customHeight="1" x14ac:dyDescent="0.2">
      <c r="A14" s="224" t="str">
        <f>'T11'!$A$26</f>
        <v>2014-15</v>
      </c>
      <c r="B14" s="745">
        <f>'h11'!T10</f>
        <v>59.5</v>
      </c>
      <c r="C14" s="225">
        <f>'h11'!U10</f>
        <v>0.6</v>
      </c>
      <c r="D14" s="746">
        <f>'h11'!V10</f>
        <v>39.9</v>
      </c>
      <c r="E14" s="745">
        <f>'h11'!E10</f>
        <v>67</v>
      </c>
      <c r="F14" s="225">
        <f>'h11'!F10</f>
        <v>0.1</v>
      </c>
      <c r="G14" s="746">
        <f>'h11'!G10</f>
        <v>32.799999999999997</v>
      </c>
      <c r="H14" s="755">
        <f>'h11'!B10</f>
        <v>63</v>
      </c>
      <c r="I14" s="226">
        <f>'h11'!C10</f>
        <v>0.4</v>
      </c>
      <c r="J14" s="756">
        <f>'h11'!D10</f>
        <v>36.5</v>
      </c>
      <c r="K14" s="755">
        <f>'h11'!H10</f>
        <v>53.7</v>
      </c>
      <c r="L14" s="226">
        <f>'h11'!I10</f>
        <v>1.2</v>
      </c>
      <c r="M14" s="756">
        <f>'h11'!J10</f>
        <v>45.1</v>
      </c>
      <c r="N14" s="755">
        <f>'h11'!Q10</f>
        <v>26.7</v>
      </c>
      <c r="O14" s="226">
        <f>'h11'!R10</f>
        <v>0.5</v>
      </c>
      <c r="P14" s="756">
        <f>'h11'!S10</f>
        <v>72.8</v>
      </c>
      <c r="Q14" s="759">
        <f>'h11'!K10</f>
        <v>60.2</v>
      </c>
      <c r="R14" s="228">
        <f>'h11'!L10</f>
        <v>0.5</v>
      </c>
      <c r="S14" s="760">
        <f>'h11'!M10</f>
        <v>39.299999999999997</v>
      </c>
      <c r="T14" s="767">
        <f>'h11'!N10</f>
        <v>61.8</v>
      </c>
      <c r="U14" s="229">
        <f>'h11'!O10</f>
        <v>0.5</v>
      </c>
      <c r="V14" s="768">
        <f>'h11'!P10</f>
        <v>37.700000000000003</v>
      </c>
    </row>
    <row r="15" spans="1:22" ht="15" customHeight="1" x14ac:dyDescent="0.2">
      <c r="A15" s="224" t="str">
        <f>'T11'!$A$33</f>
        <v>2015-16</v>
      </c>
      <c r="B15" s="747">
        <f>'h11'!T11</f>
        <v>53.7</v>
      </c>
      <c r="C15" s="230">
        <f>'h11'!U11</f>
        <v>0.5</v>
      </c>
      <c r="D15" s="748">
        <f>'h11'!V11</f>
        <v>45.7</v>
      </c>
      <c r="E15" s="747">
        <f>'h11'!E11</f>
        <v>60</v>
      </c>
      <c r="F15" s="230">
        <f>'h11'!F11</f>
        <v>0.6</v>
      </c>
      <c r="G15" s="748">
        <f>'h11'!G11</f>
        <v>39.4</v>
      </c>
      <c r="H15" s="755">
        <f>'h11'!B11</f>
        <v>64</v>
      </c>
      <c r="I15" s="226">
        <f>'h11'!C11</f>
        <v>0.5</v>
      </c>
      <c r="J15" s="756">
        <f>'h11'!D11</f>
        <v>35.5</v>
      </c>
      <c r="K15" s="755">
        <f>'h11'!H11</f>
        <v>53.4</v>
      </c>
      <c r="L15" s="226">
        <f>'h11'!I11</f>
        <v>0.8</v>
      </c>
      <c r="M15" s="756">
        <f>'h11'!J11</f>
        <v>45.8</v>
      </c>
      <c r="N15" s="755">
        <f>'h11'!Q11</f>
        <v>32.5</v>
      </c>
      <c r="O15" s="226">
        <f>'h11'!R11</f>
        <v>0.9</v>
      </c>
      <c r="P15" s="756">
        <f>'h11'!S11</f>
        <v>66.7</v>
      </c>
      <c r="Q15" s="759">
        <f>'h11'!K11</f>
        <v>55.3</v>
      </c>
      <c r="R15" s="228">
        <f>'h11'!L11</f>
        <v>0.6</v>
      </c>
      <c r="S15" s="760">
        <f>'h11'!M11</f>
        <v>44.1</v>
      </c>
      <c r="T15" s="769">
        <f>'h11'!N11</f>
        <v>56.3</v>
      </c>
      <c r="U15" s="231">
        <f>'h11'!O11</f>
        <v>0.6</v>
      </c>
      <c r="V15" s="770">
        <f>'h11'!P11</f>
        <v>43.1</v>
      </c>
    </row>
    <row r="16" spans="1:22" ht="15" customHeight="1" x14ac:dyDescent="0.2">
      <c r="A16" s="224" t="str">
        <f>'T11'!$A$40</f>
        <v>2016-17</v>
      </c>
      <c r="B16" s="745">
        <f>'h11'!T12</f>
        <v>51.2</v>
      </c>
      <c r="C16" s="225">
        <f>'h11'!U12</f>
        <v>0.5</v>
      </c>
      <c r="D16" s="746">
        <f>'h11'!V12</f>
        <v>48.3</v>
      </c>
      <c r="E16" s="745">
        <f>'h11'!E12</f>
        <v>58</v>
      </c>
      <c r="F16" s="225">
        <f>'h11'!F12</f>
        <v>0.6</v>
      </c>
      <c r="G16" s="746">
        <f>'h11'!G12</f>
        <v>41.4</v>
      </c>
      <c r="H16" s="745">
        <f>'h11'!B12</f>
        <v>55.8</v>
      </c>
      <c r="I16" s="225">
        <f>'h11'!C12</f>
        <v>0.6</v>
      </c>
      <c r="J16" s="746">
        <f>'h11'!D12</f>
        <v>43.6</v>
      </c>
      <c r="K16" s="745">
        <f>'h11'!H12</f>
        <v>53.9</v>
      </c>
      <c r="L16" s="225">
        <f>'h11'!I12</f>
        <v>0.6</v>
      </c>
      <c r="M16" s="746">
        <f>'h11'!J12</f>
        <v>45.5</v>
      </c>
      <c r="N16" s="745">
        <f>'h11'!Q12</f>
        <v>42.7</v>
      </c>
      <c r="O16" s="225">
        <f>'h11'!R12</f>
        <v>0.3</v>
      </c>
      <c r="P16" s="746">
        <f>'h11'!S12</f>
        <v>57</v>
      </c>
      <c r="Q16" s="759">
        <f>'h11'!K12</f>
        <v>53.7</v>
      </c>
      <c r="R16" s="228">
        <f>'h11'!L12</f>
        <v>0.6</v>
      </c>
      <c r="S16" s="760">
        <f>'h11'!M12</f>
        <v>45.7</v>
      </c>
      <c r="T16" s="769">
        <f>'h11'!N12</f>
        <v>54.2</v>
      </c>
      <c r="U16" s="231">
        <f>'h11'!O12</f>
        <v>0.6</v>
      </c>
      <c r="V16" s="770">
        <f>'h11'!P12</f>
        <v>45.2</v>
      </c>
    </row>
    <row r="17" spans="1:22" ht="15" customHeight="1" x14ac:dyDescent="0.2">
      <c r="A17" s="224" t="str">
        <f>'T11'!$A$47</f>
        <v>2017-18</v>
      </c>
      <c r="B17" s="745">
        <f>'h11'!T13</f>
        <v>55.7</v>
      </c>
      <c r="C17" s="225">
        <f>'h11'!U13</f>
        <v>1.2</v>
      </c>
      <c r="D17" s="746">
        <f>'h11'!V13</f>
        <v>43.1</v>
      </c>
      <c r="E17" s="745">
        <f>'h11'!E13</f>
        <v>65.900000000000006</v>
      </c>
      <c r="F17" s="225">
        <f>'h11'!F13</f>
        <v>1.2</v>
      </c>
      <c r="G17" s="746">
        <f>'h11'!G13</f>
        <v>32.9</v>
      </c>
      <c r="H17" s="745">
        <f>'h11'!B13</f>
        <v>52.9</v>
      </c>
      <c r="I17" s="225">
        <f>'h11'!C13</f>
        <v>0.5</v>
      </c>
      <c r="J17" s="746">
        <f>'h11'!D13</f>
        <v>46.6</v>
      </c>
      <c r="K17" s="745">
        <f>'h11'!H13</f>
        <v>61.2</v>
      </c>
      <c r="L17" s="225">
        <f>'h11'!I13</f>
        <v>1.4</v>
      </c>
      <c r="M17" s="746">
        <f>'h11'!J13</f>
        <v>37.4</v>
      </c>
      <c r="N17" s="745">
        <f>'h11'!Q13</f>
        <v>37.299999999999997</v>
      </c>
      <c r="O17" s="225">
        <f>'h11'!R13</f>
        <v>0.6</v>
      </c>
      <c r="P17" s="746">
        <f>'h11'!S13</f>
        <v>62</v>
      </c>
      <c r="Q17" s="759">
        <f>'h11'!K13</f>
        <v>59.2</v>
      </c>
      <c r="R17" s="228">
        <f>'h11'!L13</f>
        <v>1.2</v>
      </c>
      <c r="S17" s="760">
        <f>'h11'!M13</f>
        <v>39.6</v>
      </c>
      <c r="T17" s="769">
        <f>'h11'!N13</f>
        <v>60.2</v>
      </c>
      <c r="U17" s="231">
        <f>'h11'!O13</f>
        <v>1.2</v>
      </c>
      <c r="V17" s="770">
        <f>'h11'!P13</f>
        <v>38.6</v>
      </c>
    </row>
    <row r="18" spans="1:22" x14ac:dyDescent="0.2">
      <c r="A18" s="224" t="str">
        <f>'T11'!$A$54</f>
        <v>2018-19</v>
      </c>
      <c r="B18" s="749">
        <f>'h11'!T14</f>
        <v>60.4</v>
      </c>
      <c r="C18" s="750">
        <f>'h11'!U14</f>
        <v>1.2</v>
      </c>
      <c r="D18" s="751">
        <f>'h11'!V14</f>
        <v>38.4</v>
      </c>
      <c r="E18" s="749">
        <f>'h11'!E14</f>
        <v>67.599999999999994</v>
      </c>
      <c r="F18" s="750">
        <f>'h11'!F14</f>
        <v>1.1000000000000001</v>
      </c>
      <c r="G18" s="751">
        <f>'h11'!G14</f>
        <v>31.3</v>
      </c>
      <c r="H18" s="749">
        <f>'h11'!B14</f>
        <v>53.6</v>
      </c>
      <c r="I18" s="750">
        <f>'h11'!C14</f>
        <v>1</v>
      </c>
      <c r="J18" s="751">
        <f>'h11'!D14</f>
        <v>45.4</v>
      </c>
      <c r="K18" s="749">
        <f>'h11'!H14</f>
        <v>68.099999999999994</v>
      </c>
      <c r="L18" s="750">
        <f>'h11'!I14</f>
        <v>1.8</v>
      </c>
      <c r="M18" s="751">
        <f>'h11'!J14</f>
        <v>30.2</v>
      </c>
      <c r="N18" s="749">
        <f>'h11'!Q14</f>
        <v>36.299999999999997</v>
      </c>
      <c r="O18" s="750">
        <f>'h11'!R14</f>
        <v>0.6</v>
      </c>
      <c r="P18" s="751">
        <f>'h11'!S14</f>
        <v>63.1</v>
      </c>
      <c r="Q18" s="761">
        <f>'h11'!K14</f>
        <v>62.7</v>
      </c>
      <c r="R18" s="762">
        <f>'h11'!L14</f>
        <v>1.2</v>
      </c>
      <c r="S18" s="763">
        <f>'h11'!M14</f>
        <v>36.1</v>
      </c>
      <c r="T18" s="771">
        <f>'h11'!N14</f>
        <v>63.8</v>
      </c>
      <c r="U18" s="772">
        <f>'h11'!O14</f>
        <v>1.2</v>
      </c>
      <c r="V18" s="773">
        <f>'h11'!P14</f>
        <v>35</v>
      </c>
    </row>
    <row r="19" spans="1:22" ht="15" customHeight="1" x14ac:dyDescent="0.2">
      <c r="A19" s="232"/>
      <c r="B19" s="433"/>
      <c r="C19" s="433"/>
      <c r="D19" s="433"/>
      <c r="E19" s="433"/>
      <c r="F19" s="433"/>
      <c r="G19" s="433"/>
      <c r="H19" s="433"/>
      <c r="I19" s="433"/>
      <c r="J19" s="433"/>
      <c r="K19" s="433"/>
      <c r="L19" s="433"/>
      <c r="M19" s="433"/>
      <c r="N19" s="433"/>
      <c r="O19" s="433"/>
      <c r="P19" s="433"/>
      <c r="Q19" s="232"/>
      <c r="R19" s="232"/>
      <c r="S19" s="232"/>
      <c r="T19" s="232"/>
      <c r="U19" s="232"/>
      <c r="V19" s="232"/>
    </row>
    <row r="20" spans="1:22" ht="15" x14ac:dyDescent="0.25">
      <c r="A20" s="494" t="s">
        <v>8</v>
      </c>
      <c r="B20" s="179"/>
      <c r="C20" s="233"/>
      <c r="D20" s="233"/>
      <c r="E20" s="233"/>
      <c r="F20" s="233"/>
      <c r="G20" s="31"/>
      <c r="H20" s="31"/>
      <c r="I20" s="31"/>
      <c r="J20" s="31"/>
      <c r="K20" s="31"/>
      <c r="L20" s="31"/>
      <c r="M20" s="31"/>
      <c r="N20" s="31"/>
      <c r="O20" s="31"/>
      <c r="P20" s="31"/>
      <c r="Q20" s="31"/>
      <c r="R20" s="31"/>
      <c r="S20" s="31"/>
      <c r="T20" s="31"/>
      <c r="U20" s="31"/>
      <c r="V20" s="31"/>
    </row>
    <row r="21" spans="1:22" ht="15" x14ac:dyDescent="0.25">
      <c r="A21" s="501" t="s">
        <v>240</v>
      </c>
      <c r="B21" s="31"/>
      <c r="C21" s="31"/>
      <c r="D21" s="31"/>
      <c r="E21" s="31"/>
      <c r="F21" s="31"/>
      <c r="G21" s="31"/>
      <c r="H21" s="31"/>
      <c r="I21" s="31"/>
      <c r="J21" s="31"/>
      <c r="K21" s="31"/>
      <c r="L21" s="31"/>
      <c r="M21" s="31"/>
      <c r="N21" s="31"/>
      <c r="O21" s="31"/>
      <c r="P21" s="31"/>
      <c r="Q21" s="31"/>
      <c r="R21" s="31"/>
      <c r="S21" s="31"/>
      <c r="T21" s="31"/>
      <c r="U21" s="31"/>
      <c r="V21" s="31"/>
    </row>
    <row r="22" spans="1:22" ht="30" customHeight="1" x14ac:dyDescent="0.25">
      <c r="A22" s="1017" t="s">
        <v>247</v>
      </c>
      <c r="B22" s="1017"/>
      <c r="C22" s="1017"/>
      <c r="D22" s="1017"/>
      <c r="E22" s="1017"/>
      <c r="F22" s="1017"/>
      <c r="G22" s="1017"/>
      <c r="H22" s="1017"/>
      <c r="I22" s="1017"/>
      <c r="J22" s="1017"/>
      <c r="K22" s="1017"/>
      <c r="L22" s="1017"/>
      <c r="M22" s="1017"/>
      <c r="N22" s="1017"/>
      <c r="O22" s="1017"/>
      <c r="P22" s="1017"/>
      <c r="Q22" s="1017"/>
      <c r="R22" s="1017"/>
      <c r="S22" s="1017"/>
      <c r="T22" s="1017"/>
      <c r="U22" s="1017"/>
      <c r="V22" s="1017"/>
    </row>
  </sheetData>
  <sheetProtection algorithmName="SHA-512" hashValue="XLUy10IzJx4jLhUpSn5wZ6pRGaUeWRzJnZYklxiZFnx3You+7J2Ndwi3aEVzJ+bT2iVSDTFQIzj8GOwQycr0fw==" saltValue="zKrNloQMMhV7H5FwmYbdyg==" spinCount="100000" sheet="1" objects="1" scenarios="1"/>
  <mergeCells count="10">
    <mergeCell ref="A1:C1"/>
    <mergeCell ref="A22:V22"/>
    <mergeCell ref="A4:V4"/>
    <mergeCell ref="B9:D9"/>
    <mergeCell ref="E9:G9"/>
    <mergeCell ref="H9:J9"/>
    <mergeCell ref="K9:M9"/>
    <mergeCell ref="N9:P9"/>
    <mergeCell ref="Q9:S9"/>
    <mergeCell ref="T9:V9"/>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tint="0.39997558519241921"/>
  </sheetPr>
  <dimension ref="A4:V15"/>
  <sheetViews>
    <sheetView workbookViewId="0">
      <selection activeCell="X5" sqref="X5"/>
    </sheetView>
  </sheetViews>
  <sheetFormatPr defaultRowHeight="15" x14ac:dyDescent="0.25"/>
  <cols>
    <col min="1" max="1" width="13.140625" customWidth="1"/>
    <col min="2" max="2" width="16.28515625" customWidth="1"/>
    <col min="3" max="3" width="21.5703125" customWidth="1"/>
    <col min="4" max="4" width="17.28515625" customWidth="1"/>
    <col min="5" max="5" width="13.28515625" customWidth="1"/>
    <col min="6" max="6" width="21.5703125" customWidth="1"/>
    <col min="7" max="7" width="17.28515625" customWidth="1"/>
    <col min="8" max="8" width="13.28515625" customWidth="1"/>
    <col min="9" max="9" width="21.5703125" customWidth="1"/>
    <col min="10" max="10" width="17.28515625" bestFit="1" customWidth="1"/>
    <col min="11" max="11" width="13.28515625" customWidth="1"/>
    <col min="12" max="12" width="21.5703125" customWidth="1"/>
    <col min="13" max="13" width="17.28515625" customWidth="1"/>
    <col min="14" max="14" width="13.28515625" customWidth="1"/>
    <col min="15" max="15" width="21.5703125" customWidth="1"/>
    <col min="16" max="16" width="17.28515625" customWidth="1"/>
    <col min="17" max="17" width="13.28515625" customWidth="1"/>
    <col min="18" max="18" width="21.5703125" customWidth="1"/>
    <col min="19" max="19" width="17.28515625" bestFit="1" customWidth="1"/>
    <col min="20" max="20" width="13.28515625" bestFit="1" customWidth="1"/>
    <col min="21" max="21" width="21.5703125" customWidth="1"/>
    <col min="22" max="22" width="17.28515625" customWidth="1"/>
    <col min="23" max="23" width="18.28515625" customWidth="1"/>
    <col min="24" max="24" width="26.5703125" customWidth="1"/>
    <col min="25" max="25" width="22.28515625" customWidth="1"/>
    <col min="26" max="27" width="5" customWidth="1"/>
    <col min="28" max="28" width="12.85546875" bestFit="1" customWidth="1"/>
    <col min="29" max="29" width="7.28515625" customWidth="1"/>
    <col min="30" max="36" width="5" customWidth="1"/>
    <col min="37" max="37" width="10.28515625" bestFit="1" customWidth="1"/>
    <col min="38" max="38" width="14.7109375" bestFit="1" customWidth="1"/>
    <col min="39" max="43" width="5" customWidth="1"/>
    <col min="44" max="45" width="3" customWidth="1"/>
    <col min="46" max="46" width="18" bestFit="1" customWidth="1"/>
    <col min="47" max="47" width="5.85546875" customWidth="1"/>
    <col min="48" max="54" width="5" customWidth="1"/>
    <col min="55" max="55" width="8.85546875" customWidth="1"/>
    <col min="56" max="56" width="5.85546875" customWidth="1"/>
    <col min="57" max="63" width="5" customWidth="1"/>
    <col min="64" max="64" width="8.85546875" customWidth="1"/>
    <col min="65" max="65" width="11.28515625" bestFit="1" customWidth="1"/>
  </cols>
  <sheetData>
    <row r="4" spans="1:22" x14ac:dyDescent="0.25">
      <c r="B4" s="569" t="s">
        <v>276</v>
      </c>
    </row>
    <row r="5" spans="1:22" x14ac:dyDescent="0.25">
      <c r="B5" t="s">
        <v>2</v>
      </c>
      <c r="E5" t="s">
        <v>9</v>
      </c>
      <c r="H5" t="s">
        <v>3</v>
      </c>
      <c r="K5" t="s">
        <v>26</v>
      </c>
      <c r="N5" t="s">
        <v>329</v>
      </c>
      <c r="Q5" t="s">
        <v>320</v>
      </c>
      <c r="T5" t="s">
        <v>321</v>
      </c>
    </row>
    <row r="6" spans="1:22" x14ac:dyDescent="0.25">
      <c r="A6" s="569" t="s">
        <v>250</v>
      </c>
      <c r="B6" t="s">
        <v>331</v>
      </c>
      <c r="C6" t="s">
        <v>333</v>
      </c>
      <c r="D6" t="s">
        <v>332</v>
      </c>
      <c r="E6" t="s">
        <v>331</v>
      </c>
      <c r="F6" t="s">
        <v>333</v>
      </c>
      <c r="G6" t="s">
        <v>332</v>
      </c>
      <c r="H6" t="s">
        <v>331</v>
      </c>
      <c r="I6" t="s">
        <v>333</v>
      </c>
      <c r="J6" t="s">
        <v>332</v>
      </c>
      <c r="K6" t="s">
        <v>331</v>
      </c>
      <c r="L6" t="s">
        <v>333</v>
      </c>
      <c r="M6" t="s">
        <v>332</v>
      </c>
      <c r="N6" t="s">
        <v>331</v>
      </c>
      <c r="O6" t="s">
        <v>333</v>
      </c>
      <c r="P6" t="s">
        <v>332</v>
      </c>
      <c r="Q6" t="s">
        <v>331</v>
      </c>
      <c r="R6" t="s">
        <v>333</v>
      </c>
      <c r="S6" t="s">
        <v>332</v>
      </c>
      <c r="T6" t="s">
        <v>331</v>
      </c>
      <c r="U6" t="s">
        <v>333</v>
      </c>
      <c r="V6" t="s">
        <v>332</v>
      </c>
    </row>
    <row r="7" spans="1:22" x14ac:dyDescent="0.25">
      <c r="A7" s="986" t="s">
        <v>330</v>
      </c>
      <c r="B7" s="571">
        <v>84.6</v>
      </c>
      <c r="C7" s="571">
        <v>0.4</v>
      </c>
      <c r="D7" s="571">
        <v>15</v>
      </c>
      <c r="E7" s="571">
        <v>81.8</v>
      </c>
      <c r="F7" s="571">
        <v>0.2</v>
      </c>
      <c r="G7" s="571">
        <v>18</v>
      </c>
      <c r="H7" s="571">
        <v>65.5</v>
      </c>
      <c r="I7" s="571">
        <v>1</v>
      </c>
      <c r="J7" s="571">
        <v>33.5</v>
      </c>
      <c r="K7" s="571">
        <v>74.400000000000006</v>
      </c>
      <c r="L7" s="571">
        <v>0.6</v>
      </c>
      <c r="M7" s="571">
        <v>25</v>
      </c>
      <c r="N7" s="571">
        <v>75</v>
      </c>
      <c r="O7" s="571">
        <v>0.6</v>
      </c>
      <c r="P7" s="571">
        <v>24.4</v>
      </c>
      <c r="Q7" s="571">
        <v>62.7</v>
      </c>
      <c r="R7" s="571">
        <v>0.2</v>
      </c>
      <c r="S7" s="571">
        <v>37</v>
      </c>
      <c r="T7" s="571">
        <v>72.2</v>
      </c>
      <c r="U7" s="571">
        <v>0.8</v>
      </c>
      <c r="V7" s="571">
        <v>27.1</v>
      </c>
    </row>
    <row r="8" spans="1:22" x14ac:dyDescent="0.25">
      <c r="A8" s="986" t="s">
        <v>208</v>
      </c>
      <c r="B8" s="571">
        <v>89.7</v>
      </c>
      <c r="C8" s="571">
        <v>0.4</v>
      </c>
      <c r="D8" s="571">
        <v>9.8000000000000007</v>
      </c>
      <c r="E8" s="571">
        <v>80.900000000000006</v>
      </c>
      <c r="F8" s="571">
        <v>0.2</v>
      </c>
      <c r="G8" s="571">
        <v>18.899999999999999</v>
      </c>
      <c r="H8" s="571">
        <v>78.400000000000006</v>
      </c>
      <c r="I8" s="571">
        <v>1</v>
      </c>
      <c r="J8" s="571">
        <v>20.6</v>
      </c>
      <c r="K8" s="571">
        <v>80.099999999999994</v>
      </c>
      <c r="L8" s="571">
        <v>0.6</v>
      </c>
      <c r="M8" s="571">
        <v>19.3</v>
      </c>
      <c r="N8" s="571">
        <v>81</v>
      </c>
      <c r="O8" s="571">
        <v>0.6</v>
      </c>
      <c r="P8" s="571">
        <v>18.399999999999999</v>
      </c>
      <c r="Q8" s="571">
        <v>61.4</v>
      </c>
      <c r="R8" s="571">
        <v>0.5</v>
      </c>
      <c r="S8" s="571">
        <v>38.1</v>
      </c>
      <c r="T8" s="571">
        <v>81.2</v>
      </c>
      <c r="U8" s="571">
        <v>0.7</v>
      </c>
      <c r="V8" s="571">
        <v>18</v>
      </c>
    </row>
    <row r="9" spans="1:22" x14ac:dyDescent="0.25">
      <c r="A9" s="986" t="s">
        <v>207</v>
      </c>
      <c r="B9" s="571">
        <v>49.3</v>
      </c>
      <c r="C9" s="571"/>
      <c r="D9" s="571">
        <v>50.7</v>
      </c>
      <c r="E9" s="571">
        <v>69.599999999999994</v>
      </c>
      <c r="F9" s="571">
        <v>1.1000000000000001</v>
      </c>
      <c r="G9" s="571">
        <v>29.3</v>
      </c>
      <c r="H9" s="571">
        <v>55.2</v>
      </c>
      <c r="I9" s="571">
        <v>1</v>
      </c>
      <c r="J9" s="571">
        <v>43.8</v>
      </c>
      <c r="K9" s="571">
        <v>61.1</v>
      </c>
      <c r="L9" s="571">
        <v>0.8</v>
      </c>
      <c r="M9" s="571">
        <v>38.1</v>
      </c>
      <c r="N9" s="571">
        <v>62.5</v>
      </c>
      <c r="O9" s="571">
        <v>0.8</v>
      </c>
      <c r="P9" s="571">
        <v>36.700000000000003</v>
      </c>
      <c r="Q9" s="571">
        <v>30.1</v>
      </c>
      <c r="R9" s="571">
        <v>0.6</v>
      </c>
      <c r="S9" s="571">
        <v>69.400000000000006</v>
      </c>
      <c r="T9" s="571">
        <v>59.8</v>
      </c>
      <c r="U9" s="571">
        <v>0.6</v>
      </c>
      <c r="V9" s="571">
        <v>39.6</v>
      </c>
    </row>
    <row r="10" spans="1:22" x14ac:dyDescent="0.25">
      <c r="A10" s="986" t="s">
        <v>206</v>
      </c>
      <c r="B10" s="571">
        <v>63</v>
      </c>
      <c r="C10" s="571">
        <v>0.4</v>
      </c>
      <c r="D10" s="571">
        <v>36.5</v>
      </c>
      <c r="E10" s="571">
        <v>67</v>
      </c>
      <c r="F10" s="571">
        <v>0.1</v>
      </c>
      <c r="G10" s="571">
        <v>32.799999999999997</v>
      </c>
      <c r="H10" s="571">
        <v>53.7</v>
      </c>
      <c r="I10" s="571">
        <v>1.2</v>
      </c>
      <c r="J10" s="571">
        <v>45.1</v>
      </c>
      <c r="K10" s="571">
        <v>60.2</v>
      </c>
      <c r="L10" s="571">
        <v>0.5</v>
      </c>
      <c r="M10" s="571">
        <v>39.299999999999997</v>
      </c>
      <c r="N10" s="571">
        <v>61.8</v>
      </c>
      <c r="O10" s="571">
        <v>0.5</v>
      </c>
      <c r="P10" s="571">
        <v>37.700000000000003</v>
      </c>
      <c r="Q10" s="571">
        <v>26.7</v>
      </c>
      <c r="R10" s="571">
        <v>0.5</v>
      </c>
      <c r="S10" s="571">
        <v>72.8</v>
      </c>
      <c r="T10" s="571">
        <v>59.5</v>
      </c>
      <c r="U10" s="571">
        <v>0.6</v>
      </c>
      <c r="V10" s="571">
        <v>39.9</v>
      </c>
    </row>
    <row r="11" spans="1:22" x14ac:dyDescent="0.25">
      <c r="A11" s="986" t="s">
        <v>205</v>
      </c>
      <c r="B11" s="571">
        <v>64</v>
      </c>
      <c r="C11" s="571">
        <v>0.5</v>
      </c>
      <c r="D11" s="571">
        <v>35.5</v>
      </c>
      <c r="E11" s="571">
        <v>60</v>
      </c>
      <c r="F11" s="571">
        <v>0.6</v>
      </c>
      <c r="G11" s="571">
        <v>39.4</v>
      </c>
      <c r="H11" s="571">
        <v>53.4</v>
      </c>
      <c r="I11" s="571">
        <v>0.8</v>
      </c>
      <c r="J11" s="571">
        <v>45.8</v>
      </c>
      <c r="K11" s="571">
        <v>55.3</v>
      </c>
      <c r="L11" s="571">
        <v>0.6</v>
      </c>
      <c r="M11" s="571">
        <v>44.1</v>
      </c>
      <c r="N11" s="571">
        <v>56.3</v>
      </c>
      <c r="O11" s="571">
        <v>0.6</v>
      </c>
      <c r="P11" s="571">
        <v>43.1</v>
      </c>
      <c r="Q11" s="571">
        <v>32.5</v>
      </c>
      <c r="R11" s="571">
        <v>0.9</v>
      </c>
      <c r="S11" s="571">
        <v>66.7</v>
      </c>
      <c r="T11" s="571">
        <v>53.7</v>
      </c>
      <c r="U11" s="571">
        <v>0.5</v>
      </c>
      <c r="V11" s="571">
        <v>45.7</v>
      </c>
    </row>
    <row r="12" spans="1:22" x14ac:dyDescent="0.25">
      <c r="A12" s="986" t="s">
        <v>278</v>
      </c>
      <c r="B12" s="571">
        <v>55.8</v>
      </c>
      <c r="C12" s="571">
        <v>0.6</v>
      </c>
      <c r="D12" s="571">
        <v>43.6</v>
      </c>
      <c r="E12" s="571">
        <v>58</v>
      </c>
      <c r="F12" s="571">
        <v>0.6</v>
      </c>
      <c r="G12" s="571">
        <v>41.4</v>
      </c>
      <c r="H12" s="571">
        <v>53.9</v>
      </c>
      <c r="I12" s="571">
        <v>0.6</v>
      </c>
      <c r="J12" s="571">
        <v>45.5</v>
      </c>
      <c r="K12" s="571">
        <v>53.7</v>
      </c>
      <c r="L12" s="571">
        <v>0.6</v>
      </c>
      <c r="M12" s="571">
        <v>45.7</v>
      </c>
      <c r="N12" s="571">
        <v>54.2</v>
      </c>
      <c r="O12" s="571">
        <v>0.6</v>
      </c>
      <c r="P12" s="571">
        <v>45.2</v>
      </c>
      <c r="Q12" s="571">
        <v>42.7</v>
      </c>
      <c r="R12" s="571">
        <v>0.3</v>
      </c>
      <c r="S12" s="571">
        <v>57</v>
      </c>
      <c r="T12" s="571">
        <v>51.2</v>
      </c>
      <c r="U12" s="571">
        <v>0.5</v>
      </c>
      <c r="V12" s="571">
        <v>48.3</v>
      </c>
    </row>
    <row r="13" spans="1:22" x14ac:dyDescent="0.25">
      <c r="A13" s="986" t="s">
        <v>259</v>
      </c>
      <c r="B13" s="571">
        <v>52.9</v>
      </c>
      <c r="C13" s="571">
        <v>0.5</v>
      </c>
      <c r="D13" s="571">
        <v>46.6</v>
      </c>
      <c r="E13" s="571">
        <v>65.900000000000006</v>
      </c>
      <c r="F13" s="571">
        <v>1.2</v>
      </c>
      <c r="G13" s="571">
        <v>32.9</v>
      </c>
      <c r="H13" s="571">
        <v>61.2</v>
      </c>
      <c r="I13" s="571">
        <v>1.4</v>
      </c>
      <c r="J13" s="571">
        <v>37.4</v>
      </c>
      <c r="K13" s="571">
        <v>59.2</v>
      </c>
      <c r="L13" s="571">
        <v>1.2</v>
      </c>
      <c r="M13" s="571">
        <v>39.6</v>
      </c>
      <c r="N13" s="571">
        <v>60.2</v>
      </c>
      <c r="O13" s="571">
        <v>1.2</v>
      </c>
      <c r="P13" s="571">
        <v>38.6</v>
      </c>
      <c r="Q13" s="571">
        <v>37.299999999999997</v>
      </c>
      <c r="R13" s="571">
        <v>0.6</v>
      </c>
      <c r="S13" s="571">
        <v>62</v>
      </c>
      <c r="T13" s="571">
        <v>55.7</v>
      </c>
      <c r="U13" s="571">
        <v>1.2</v>
      </c>
      <c r="V13" s="571">
        <v>43.1</v>
      </c>
    </row>
    <row r="14" spans="1:22" x14ac:dyDescent="0.25">
      <c r="A14" s="986" t="s">
        <v>258</v>
      </c>
      <c r="B14" s="571">
        <v>53.6</v>
      </c>
      <c r="C14" s="571">
        <v>1</v>
      </c>
      <c r="D14" s="571">
        <v>45.4</v>
      </c>
      <c r="E14" s="571">
        <v>67.599999999999994</v>
      </c>
      <c r="F14" s="571">
        <v>1.1000000000000001</v>
      </c>
      <c r="G14" s="571">
        <v>31.3</v>
      </c>
      <c r="H14" s="571">
        <v>68.099999999999994</v>
      </c>
      <c r="I14" s="571">
        <v>1.8</v>
      </c>
      <c r="J14" s="571">
        <v>30.2</v>
      </c>
      <c r="K14" s="571">
        <v>62.7</v>
      </c>
      <c r="L14" s="571">
        <v>1.2</v>
      </c>
      <c r="M14" s="571">
        <v>36.1</v>
      </c>
      <c r="N14" s="571">
        <v>63.8</v>
      </c>
      <c r="O14" s="571">
        <v>1.2</v>
      </c>
      <c r="P14" s="571">
        <v>35</v>
      </c>
      <c r="Q14" s="571">
        <v>36.299999999999997</v>
      </c>
      <c r="R14" s="571">
        <v>0.6</v>
      </c>
      <c r="S14" s="571">
        <v>63.1</v>
      </c>
      <c r="T14" s="571">
        <v>60.4</v>
      </c>
      <c r="U14" s="571">
        <v>1.2</v>
      </c>
      <c r="V14" s="571">
        <v>38.4</v>
      </c>
    </row>
    <row r="15" spans="1:22" x14ac:dyDescent="0.25">
      <c r="A15" s="986" t="s">
        <v>255</v>
      </c>
      <c r="B15" s="571">
        <v>512.9</v>
      </c>
      <c r="C15" s="571">
        <v>3.8000000000000003</v>
      </c>
      <c r="D15" s="571">
        <v>283.09999999999997</v>
      </c>
      <c r="E15" s="571">
        <v>550.79999999999995</v>
      </c>
      <c r="F15" s="571">
        <v>5.0999999999999996</v>
      </c>
      <c r="G15" s="571">
        <v>244.00000000000003</v>
      </c>
      <c r="H15" s="571">
        <v>489.4</v>
      </c>
      <c r="I15" s="571">
        <v>8.8000000000000007</v>
      </c>
      <c r="J15" s="571">
        <v>301.89999999999998</v>
      </c>
      <c r="K15" s="571">
        <v>506.7</v>
      </c>
      <c r="L15" s="571">
        <v>6.1000000000000005</v>
      </c>
      <c r="M15" s="571">
        <v>287.2</v>
      </c>
      <c r="N15" s="571">
        <v>514.79999999999995</v>
      </c>
      <c r="O15" s="571">
        <v>6.1000000000000005</v>
      </c>
      <c r="P15" s="571">
        <v>279.10000000000002</v>
      </c>
      <c r="Q15" s="571">
        <v>329.7</v>
      </c>
      <c r="R15" s="571">
        <v>4.1999999999999993</v>
      </c>
      <c r="S15" s="571">
        <v>466.1</v>
      </c>
      <c r="T15" s="571">
        <v>493.69999999999993</v>
      </c>
      <c r="U15" s="571">
        <v>6.1000000000000005</v>
      </c>
      <c r="V15" s="571">
        <v>300.10000000000002</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39997558519241921"/>
    <pageSetUpPr fitToPage="1"/>
  </sheetPr>
  <dimension ref="A1:H36"/>
  <sheetViews>
    <sheetView showGridLines="0" workbookViewId="0">
      <pane ySplit="2" topLeftCell="A3" activePane="bottomLeft" state="frozen"/>
      <selection sqref="A1:C1"/>
      <selection pane="bottomLeft" sqref="A1:C1"/>
    </sheetView>
  </sheetViews>
  <sheetFormatPr defaultRowHeight="15" x14ac:dyDescent="0.25"/>
  <cols>
    <col min="1" max="1" width="16.7109375" customWidth="1"/>
    <col min="2" max="8" width="15.85546875" customWidth="1"/>
  </cols>
  <sheetData>
    <row r="1" spans="1:8" ht="15.75" x14ac:dyDescent="0.25">
      <c r="A1" s="993" t="s">
        <v>523</v>
      </c>
      <c r="B1" s="993"/>
      <c r="C1" s="993"/>
    </row>
    <row r="2" spans="1:8" x14ac:dyDescent="0.25">
      <c r="A2" s="790" t="s">
        <v>598</v>
      </c>
    </row>
    <row r="3" spans="1:8" x14ac:dyDescent="0.25">
      <c r="A3" s="31"/>
      <c r="B3" s="31"/>
      <c r="C3" s="31"/>
      <c r="D3" s="31"/>
      <c r="E3" s="31"/>
      <c r="F3" s="31"/>
      <c r="G3" s="31"/>
      <c r="H3" s="31"/>
    </row>
    <row r="4" spans="1:8" ht="15.75" customHeight="1" x14ac:dyDescent="0.25">
      <c r="A4" s="998" t="s">
        <v>566</v>
      </c>
      <c r="B4" s="998"/>
      <c r="C4" s="998"/>
      <c r="D4" s="998"/>
      <c r="E4" s="998"/>
      <c r="F4" s="998"/>
      <c r="G4" s="998"/>
      <c r="H4" s="998"/>
    </row>
    <row r="5" spans="1:8" ht="15.75" customHeight="1" x14ac:dyDescent="0.25">
      <c r="A5" t="s">
        <v>368</v>
      </c>
      <c r="B5" t="s">
        <v>792</v>
      </c>
      <c r="C5" s="642"/>
      <c r="D5" s="642"/>
      <c r="E5" s="642"/>
      <c r="F5" s="642"/>
      <c r="G5" s="642"/>
      <c r="H5" s="642"/>
    </row>
    <row r="6" spans="1:8" ht="15.75" customHeight="1" x14ac:dyDescent="0.25">
      <c r="A6" t="s">
        <v>369</v>
      </c>
      <c r="B6" t="s">
        <v>371</v>
      </c>
      <c r="C6" s="642"/>
      <c r="D6" s="642"/>
      <c r="E6" s="642"/>
      <c r="F6" s="642"/>
      <c r="G6" s="642"/>
      <c r="H6" s="642"/>
    </row>
    <row r="7" spans="1:8" ht="15.75" customHeight="1" x14ac:dyDescent="0.25">
      <c r="A7" t="s">
        <v>370</v>
      </c>
      <c r="B7" t="s">
        <v>372</v>
      </c>
      <c r="C7" s="642"/>
      <c r="D7" s="642"/>
      <c r="E7" s="642"/>
      <c r="F7" s="642"/>
      <c r="G7" s="642"/>
      <c r="H7" s="642"/>
    </row>
    <row r="8" spans="1:8" ht="15.75" x14ac:dyDescent="0.25">
      <c r="A8" s="313"/>
      <c r="B8" s="234"/>
      <c r="C8" s="234"/>
      <c r="D8" s="234"/>
      <c r="E8" s="234"/>
      <c r="F8" s="234"/>
      <c r="G8" s="234"/>
      <c r="H8" s="235" t="s">
        <v>7</v>
      </c>
    </row>
    <row r="9" spans="1:8" ht="26.25" x14ac:dyDescent="0.25">
      <c r="A9" s="182" t="s">
        <v>1</v>
      </c>
      <c r="B9" s="237" t="s">
        <v>27</v>
      </c>
      <c r="C9" s="237" t="s">
        <v>28</v>
      </c>
      <c r="D9" s="237" t="s">
        <v>2</v>
      </c>
      <c r="E9" s="237" t="s">
        <v>93</v>
      </c>
      <c r="F9" s="237" t="s">
        <v>29</v>
      </c>
      <c r="G9" s="223" t="s">
        <v>26</v>
      </c>
      <c r="H9" s="415" t="s">
        <v>94</v>
      </c>
    </row>
    <row r="10" spans="1:8" x14ac:dyDescent="0.25">
      <c r="A10" s="282" t="str">
        <f>'T12'!$A$5</f>
        <v>2011-12</v>
      </c>
      <c r="B10" s="434">
        <f>'T12'!C5</f>
        <v>0.4</v>
      </c>
      <c r="C10" s="434">
        <f>'T12'!D5</f>
        <v>0.3</v>
      </c>
      <c r="D10" s="434">
        <f>'T12'!E5</f>
        <v>2.1</v>
      </c>
      <c r="E10" s="434">
        <f>'T12'!F5</f>
        <v>1.4</v>
      </c>
      <c r="F10" s="434">
        <f>'T12'!G5</f>
        <v>0.4</v>
      </c>
      <c r="G10" s="435">
        <f>'T12'!H5</f>
        <v>0.6</v>
      </c>
      <c r="H10" s="436">
        <f>'T12'!I5</f>
        <v>0.6</v>
      </c>
    </row>
    <row r="11" spans="1:8" x14ac:dyDescent="0.25">
      <c r="A11" s="224" t="str">
        <f>'T12'!$A$6</f>
        <v>2012-13</v>
      </c>
      <c r="B11" s="226">
        <f>'T12'!C6</f>
        <v>0.5</v>
      </c>
      <c r="C11" s="226">
        <f>'T12'!D6</f>
        <v>0.3</v>
      </c>
      <c r="D11" s="226">
        <f>'T12'!E6</f>
        <v>2.1</v>
      </c>
      <c r="E11" s="226">
        <f>'T12'!F6</f>
        <v>1.5</v>
      </c>
      <c r="F11" s="226">
        <f>'T12'!G6</f>
        <v>0.5</v>
      </c>
      <c r="G11" s="183">
        <f>'T12'!H6</f>
        <v>0.6</v>
      </c>
      <c r="H11" s="228">
        <f>'T12'!I6</f>
        <v>0.6</v>
      </c>
    </row>
    <row r="12" spans="1:8" x14ac:dyDescent="0.25">
      <c r="A12" s="224" t="str">
        <f>'T12'!$A$7</f>
        <v>2013-14</v>
      </c>
      <c r="B12" s="226">
        <f>'T12'!C7</f>
        <v>0.2</v>
      </c>
      <c r="C12" s="226">
        <f>'T12'!D7</f>
        <v>0.2</v>
      </c>
      <c r="D12" s="226">
        <f>'T12'!E7</f>
        <v>1.8</v>
      </c>
      <c r="E12" s="226">
        <f>'T12'!F7</f>
        <v>0.7</v>
      </c>
      <c r="F12" s="226">
        <f>'T12'!G7</f>
        <v>0</v>
      </c>
      <c r="G12" s="183">
        <f>'T12'!H7</f>
        <v>0.3</v>
      </c>
      <c r="H12" s="228">
        <f>'T12'!I7</f>
        <v>0.3</v>
      </c>
    </row>
    <row r="13" spans="1:8" x14ac:dyDescent="0.25">
      <c r="A13" s="224" t="str">
        <f>'T12'!$A$8</f>
        <v>2014-15</v>
      </c>
      <c r="B13" s="226">
        <f>'T12'!C8</f>
        <v>0.2</v>
      </c>
      <c r="C13" s="226">
        <f>'T12'!D8</f>
        <v>0.2</v>
      </c>
      <c r="D13" s="226">
        <f>'T12'!E8</f>
        <v>2.2000000000000002</v>
      </c>
      <c r="E13" s="226">
        <f>'T12'!F8</f>
        <v>0.8</v>
      </c>
      <c r="F13" s="226">
        <f>'T12'!G8</f>
        <v>0</v>
      </c>
      <c r="G13" s="183">
        <f>'T12'!H8</f>
        <v>0.3</v>
      </c>
      <c r="H13" s="228">
        <f>'T12'!I8</f>
        <v>0.3</v>
      </c>
    </row>
    <row r="14" spans="1:8" x14ac:dyDescent="0.25">
      <c r="A14" s="224" t="str">
        <f>'T12'!$A$10</f>
        <v>2015-16</v>
      </c>
      <c r="B14" s="226">
        <f>'T12'!C10</f>
        <v>0</v>
      </c>
      <c r="C14" s="226">
        <f>'T12'!D10</f>
        <v>0.1</v>
      </c>
      <c r="D14" s="226">
        <f>'T12'!E10</f>
        <v>0</v>
      </c>
      <c r="E14" s="226">
        <f>'T12'!F10</f>
        <v>0.5</v>
      </c>
      <c r="F14" s="226">
        <f>'T12'!G10</f>
        <v>0.3</v>
      </c>
      <c r="G14" s="183">
        <f>'T12'!H10</f>
        <v>0.1</v>
      </c>
      <c r="H14" s="228">
        <f>'T12'!I10</f>
        <v>0.1</v>
      </c>
    </row>
    <row r="15" spans="1:8" x14ac:dyDescent="0.25">
      <c r="A15" s="224" t="str">
        <f>'T12'!$A$12</f>
        <v>2016-17</v>
      </c>
      <c r="B15" s="226">
        <f>'T12'!C12</f>
        <v>0</v>
      </c>
      <c r="C15" s="226">
        <f>'T12'!D12</f>
        <v>0.1</v>
      </c>
      <c r="D15" s="226">
        <f>'T12'!E12</f>
        <v>0</v>
      </c>
      <c r="E15" s="226">
        <f>'T12'!F12</f>
        <v>0.4</v>
      </c>
      <c r="F15" s="226">
        <f>'T12'!G12</f>
        <v>0.3</v>
      </c>
      <c r="G15" s="183">
        <f>'T12'!H12</f>
        <v>0.1</v>
      </c>
      <c r="H15" s="228">
        <f>'T12'!I12</f>
        <v>0.1</v>
      </c>
    </row>
    <row r="16" spans="1:8" x14ac:dyDescent="0.25">
      <c r="A16" s="224" t="str">
        <f>'T12'!$A$14</f>
        <v>2017-18</v>
      </c>
      <c r="B16" s="226">
        <f>'T12'!C14</f>
        <v>0.3</v>
      </c>
      <c r="C16" s="226">
        <f>'T12'!D14</f>
        <v>0.3</v>
      </c>
      <c r="D16" s="226">
        <f>'T12'!E14</f>
        <v>0</v>
      </c>
      <c r="E16" s="226">
        <f>'T12'!F14</f>
        <v>1.2</v>
      </c>
      <c r="F16" s="226">
        <f>'T12'!G14</f>
        <v>0.3</v>
      </c>
      <c r="G16" s="228">
        <f>'T12'!H14</f>
        <v>0.4</v>
      </c>
      <c r="H16" s="228">
        <f>'T12'!I14</f>
        <v>0.4</v>
      </c>
    </row>
    <row r="17" spans="1:8" ht="15.75" thickBot="1" x14ac:dyDescent="0.3">
      <c r="A17" s="238" t="str">
        <f>'T12'!$A$16</f>
        <v>2018-19</v>
      </c>
      <c r="B17" s="239">
        <f>'T12'!C16</f>
        <v>0.7</v>
      </c>
      <c r="C17" s="239">
        <f>'T12'!D16</f>
        <v>0.4</v>
      </c>
      <c r="D17" s="239">
        <f>'T12'!E16</f>
        <v>0.5</v>
      </c>
      <c r="E17" s="239">
        <f>'T12'!F16</f>
        <v>2.1</v>
      </c>
      <c r="F17" s="239">
        <f>'T12'!G16</f>
        <v>0.3</v>
      </c>
      <c r="G17" s="240">
        <f>'T12'!H16</f>
        <v>0.7</v>
      </c>
      <c r="H17" s="240">
        <f>'T12'!I16</f>
        <v>0.7</v>
      </c>
    </row>
    <row r="18" spans="1:8" x14ac:dyDescent="0.25">
      <c r="A18" s="31"/>
      <c r="B18" s="31"/>
      <c r="C18" s="31"/>
      <c r="D18" s="31"/>
      <c r="E18" s="31"/>
      <c r="F18" s="31"/>
      <c r="G18" s="31"/>
      <c r="H18" s="31"/>
    </row>
    <row r="19" spans="1:8" x14ac:dyDescent="0.25">
      <c r="A19" s="494" t="s">
        <v>8</v>
      </c>
      <c r="B19" s="31"/>
      <c r="C19" s="31"/>
      <c r="D19" s="31"/>
      <c r="E19" s="31"/>
      <c r="F19" s="31"/>
      <c r="G19" s="31"/>
      <c r="H19" s="31"/>
    </row>
    <row r="20" spans="1:8" ht="15" customHeight="1" x14ac:dyDescent="0.25">
      <c r="A20" s="1020" t="s">
        <v>841</v>
      </c>
      <c r="B20" s="1020"/>
      <c r="C20" s="1020"/>
      <c r="D20" s="1020"/>
      <c r="E20" s="1020"/>
      <c r="F20" s="1020"/>
      <c r="G20" s="1020"/>
      <c r="H20" s="1020"/>
    </row>
    <row r="21" spans="1:8" x14ac:dyDescent="0.25">
      <c r="A21" s="549"/>
      <c r="B21" s="31"/>
      <c r="C21" s="31"/>
      <c r="D21" s="31"/>
      <c r="E21" s="31"/>
      <c r="F21" s="31"/>
      <c r="G21" s="31"/>
      <c r="H21" s="31"/>
    </row>
    <row r="22" spans="1:8" ht="15.75" customHeight="1" x14ac:dyDescent="0.25">
      <c r="A22" s="1021" t="s">
        <v>567</v>
      </c>
      <c r="B22" s="1021"/>
      <c r="C22" s="1021"/>
      <c r="D22" s="1021"/>
      <c r="E22" s="1021"/>
      <c r="F22" s="1021"/>
      <c r="G22" s="1021"/>
      <c r="H22" s="1021"/>
    </row>
    <row r="23" spans="1:8" ht="15.75" customHeight="1" x14ac:dyDescent="0.25">
      <c r="A23" t="s">
        <v>368</v>
      </c>
      <c r="B23" t="s">
        <v>793</v>
      </c>
      <c r="C23" s="643"/>
      <c r="D23" s="643"/>
      <c r="E23" s="643"/>
      <c r="F23" s="643"/>
      <c r="G23" s="643"/>
      <c r="H23" s="643"/>
    </row>
    <row r="24" spans="1:8" ht="15.75" customHeight="1" x14ac:dyDescent="0.25">
      <c r="A24" t="s">
        <v>369</v>
      </c>
      <c r="B24" t="s">
        <v>371</v>
      </c>
      <c r="C24" s="643"/>
      <c r="D24" s="643"/>
      <c r="E24" s="643"/>
      <c r="F24" s="643"/>
      <c r="G24" s="643"/>
      <c r="H24" s="643"/>
    </row>
    <row r="25" spans="1:8" ht="15.75" customHeight="1" x14ac:dyDescent="0.25">
      <c r="A25" t="s">
        <v>370</v>
      </c>
      <c r="B25" t="s">
        <v>372</v>
      </c>
      <c r="C25" s="875"/>
      <c r="D25" s="875"/>
      <c r="E25" s="875"/>
      <c r="F25" s="875"/>
      <c r="G25" s="875"/>
      <c r="H25" s="875"/>
    </row>
    <row r="26" spans="1:8" ht="15.75" x14ac:dyDescent="0.25">
      <c r="C26" s="234"/>
      <c r="D26" s="234"/>
      <c r="E26" s="234"/>
      <c r="F26" s="234"/>
      <c r="G26" s="234"/>
      <c r="H26" s="235" t="s">
        <v>7</v>
      </c>
    </row>
    <row r="27" spans="1:8" ht="26.25" x14ac:dyDescent="0.25">
      <c r="A27" s="182" t="s">
        <v>1</v>
      </c>
      <c r="B27" s="774" t="s">
        <v>27</v>
      </c>
      <c r="C27" s="237" t="s">
        <v>28</v>
      </c>
      <c r="D27" s="237" t="s">
        <v>2</v>
      </c>
      <c r="E27" s="237" t="s">
        <v>93</v>
      </c>
      <c r="F27" s="237" t="s">
        <v>29</v>
      </c>
      <c r="G27" s="223" t="s">
        <v>26</v>
      </c>
      <c r="H27" s="415" t="s">
        <v>94</v>
      </c>
    </row>
    <row r="28" spans="1:8" x14ac:dyDescent="0.25">
      <c r="A28" s="282" t="str">
        <f>'T12'!$A$9</f>
        <v>2014-15</v>
      </c>
      <c r="B28" s="434">
        <f>'T12'!C9</f>
        <v>80.8</v>
      </c>
      <c r="C28" s="434">
        <f>'T12'!D9</f>
        <v>96.9</v>
      </c>
      <c r="D28" s="434">
        <f>'T12'!E9</f>
        <v>60.4</v>
      </c>
      <c r="E28" s="434">
        <f>'T12'!F9</f>
        <v>77.900000000000006</v>
      </c>
      <c r="F28" s="434">
        <f>'T12'!G9</f>
        <v>47.4</v>
      </c>
      <c r="G28" s="434">
        <f>'T12'!H9</f>
        <v>84.1</v>
      </c>
      <c r="H28" s="434">
        <f>'T12'!I9</f>
        <v>85.9</v>
      </c>
    </row>
    <row r="29" spans="1:8" x14ac:dyDescent="0.25">
      <c r="A29" s="224" t="str">
        <f>'T12'!$A$11</f>
        <v>2015-16</v>
      </c>
      <c r="B29" s="226">
        <f>'T12'!C11</f>
        <v>100</v>
      </c>
      <c r="C29" s="226">
        <f>'T12'!D11</f>
        <v>98</v>
      </c>
      <c r="D29" s="226">
        <f>'T12'!E11</f>
        <v>100</v>
      </c>
      <c r="E29" s="226">
        <f>'T12'!F11</f>
        <v>95</v>
      </c>
      <c r="F29" s="226">
        <f>'T12'!G11</f>
        <v>94</v>
      </c>
      <c r="G29" s="226">
        <f>'T12'!H11</f>
        <v>99</v>
      </c>
      <c r="H29" s="226">
        <f>'T12'!I11</f>
        <v>99</v>
      </c>
    </row>
    <row r="30" spans="1:8" x14ac:dyDescent="0.25">
      <c r="A30" s="224" t="str">
        <f>'T12'!$A$13</f>
        <v>2016-17</v>
      </c>
      <c r="B30" s="226">
        <f>'T12'!C13</f>
        <v>99.5</v>
      </c>
      <c r="C30" s="226">
        <f>'T12'!D13</f>
        <v>95.2</v>
      </c>
      <c r="D30" s="226">
        <f>'T12'!E13</f>
        <v>99.4</v>
      </c>
      <c r="E30" s="226">
        <f>'T12'!F13</f>
        <v>90.9</v>
      </c>
      <c r="F30" s="226">
        <f>'T12'!G13</f>
        <v>96.2</v>
      </c>
      <c r="G30" s="226">
        <f>'T12'!H13</f>
        <v>96.8</v>
      </c>
      <c r="H30" s="226">
        <f>'T12'!I13</f>
        <v>96.9</v>
      </c>
    </row>
    <row r="31" spans="1:8" x14ac:dyDescent="0.25">
      <c r="A31" s="224" t="str">
        <f>'T12'!$A$15</f>
        <v>2017-18</v>
      </c>
      <c r="B31" s="226">
        <f>'T12'!C15</f>
        <v>91.4</v>
      </c>
      <c r="C31" s="226">
        <f>'T12'!D15</f>
        <v>80.599999999999994</v>
      </c>
      <c r="D31" s="226">
        <f>'T12'!E15</f>
        <v>87.3</v>
      </c>
      <c r="E31" s="226">
        <f>'T12'!F15</f>
        <v>75.099999999999994</v>
      </c>
      <c r="F31" s="226">
        <f>'T12'!G15</f>
        <v>96.4</v>
      </c>
      <c r="G31" s="226">
        <f>'T12'!H15</f>
        <v>85.8</v>
      </c>
      <c r="H31" s="226">
        <f>'T12'!I15</f>
        <v>85.3</v>
      </c>
    </row>
    <row r="32" spans="1:8" ht="15.75" thickBot="1" x14ac:dyDescent="0.3">
      <c r="A32" s="238" t="str">
        <f>'T12'!$A$17</f>
        <v>2018-19</v>
      </c>
      <c r="B32" s="239">
        <f>'T12'!C17</f>
        <v>78.8</v>
      </c>
      <c r="C32" s="239">
        <f>'T12'!D17</f>
        <v>73.8</v>
      </c>
      <c r="D32" s="239">
        <f>'T12'!E17</f>
        <v>78.3</v>
      </c>
      <c r="E32" s="239">
        <f>'T12'!F17</f>
        <v>60.1</v>
      </c>
      <c r="F32" s="239">
        <f>'T12'!G17</f>
        <v>95.9</v>
      </c>
      <c r="G32" s="239">
        <f>'T12'!H17</f>
        <v>75.7</v>
      </c>
      <c r="H32" s="239">
        <f>'T12'!I17</f>
        <v>74.900000000000006</v>
      </c>
    </row>
    <row r="33" spans="1:8" x14ac:dyDescent="0.25">
      <c r="A33" s="241"/>
      <c r="B33" s="242"/>
      <c r="C33" s="242"/>
      <c r="D33" s="242"/>
      <c r="E33" s="242"/>
      <c r="F33" s="242"/>
      <c r="G33" s="242"/>
      <c r="H33" s="242"/>
    </row>
    <row r="34" spans="1:8" x14ac:dyDescent="0.25">
      <c r="A34" s="495" t="s">
        <v>8</v>
      </c>
      <c r="B34" s="242"/>
      <c r="C34" s="242"/>
      <c r="D34" s="242"/>
      <c r="E34" s="242"/>
      <c r="F34" s="242"/>
      <c r="G34" s="242"/>
      <c r="H34" s="242"/>
    </row>
    <row r="35" spans="1:8" ht="26.25" customHeight="1" x14ac:dyDescent="0.25">
      <c r="A35" s="1020" t="s">
        <v>842</v>
      </c>
      <c r="B35" s="1020"/>
      <c r="C35" s="1020"/>
      <c r="D35" s="1020"/>
      <c r="E35" s="1020"/>
      <c r="F35" s="1020"/>
      <c r="G35" s="1020"/>
      <c r="H35" s="1020"/>
    </row>
    <row r="36" spans="1:8" ht="30" customHeight="1" x14ac:dyDescent="0.25">
      <c r="A36" s="1020"/>
      <c r="B36" s="1020"/>
      <c r="C36" s="1020"/>
      <c r="D36" s="1020"/>
      <c r="E36" s="1020"/>
      <c r="F36" s="1020"/>
      <c r="G36" s="1020"/>
      <c r="H36" s="1020"/>
    </row>
  </sheetData>
  <sheetProtection algorithmName="SHA-512" hashValue="kZBWE00x0xWNEjDlNI1kfBzIHIIef5RkefrWo7YxFRpxci4i4CjwzhLLvb/s6NGra2z0rcXIDZM6kJfEmeTu8g==" saltValue="WWpuA+OxHM80qG6SgK96sg==" spinCount="100000" sheet="1" objects="1" scenarios="1"/>
  <mergeCells count="6">
    <mergeCell ref="A1:C1"/>
    <mergeCell ref="A36:H36"/>
    <mergeCell ref="A4:H4"/>
    <mergeCell ref="A22:H22"/>
    <mergeCell ref="A20:H20"/>
    <mergeCell ref="A35:H35"/>
  </mergeCells>
  <hyperlinks>
    <hyperlink ref="A2" location="'Table of Contents'!A1" display="Back to Table of Contents"/>
  </hyperlinks>
  <pageMargins left="0.70866141732283472" right="0.70866141732283472" top="0.74803149606299213" bottom="0.74803149606299213" header="0.31496062992125984" footer="0.31496062992125984"/>
  <pageSetup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59999389629810485"/>
    <pageSetUpPr fitToPage="1"/>
  </sheetPr>
  <dimension ref="A1:I47"/>
  <sheetViews>
    <sheetView showGridLines="0" workbookViewId="0">
      <pane ySplit="2" topLeftCell="A3" activePane="bottomLeft" state="frozen"/>
      <selection sqref="A1:C1"/>
      <selection pane="bottomLeft" sqref="A1:C1"/>
    </sheetView>
  </sheetViews>
  <sheetFormatPr defaultRowHeight="15" x14ac:dyDescent="0.25"/>
  <cols>
    <col min="1" max="1" width="16.85546875" customWidth="1"/>
    <col min="2" max="2" width="22" customWidth="1"/>
    <col min="3" max="7" width="13.85546875" customWidth="1"/>
    <col min="8" max="9" width="11.140625" customWidth="1"/>
    <col min="10" max="10" width="4.140625" customWidth="1"/>
    <col min="11" max="11" width="13.42578125" customWidth="1"/>
  </cols>
  <sheetData>
    <row r="1" spans="1:8" ht="15.75" x14ac:dyDescent="0.25">
      <c r="A1" s="993" t="s">
        <v>611</v>
      </c>
      <c r="B1" s="993"/>
      <c r="C1" s="993"/>
    </row>
    <row r="2" spans="1:8" ht="15.75" x14ac:dyDescent="0.25">
      <c r="A2" s="790" t="s">
        <v>598</v>
      </c>
      <c r="B2" s="792"/>
      <c r="C2" s="792"/>
    </row>
    <row r="3" spans="1:8" ht="15.75" x14ac:dyDescent="0.25">
      <c r="D3" s="243"/>
      <c r="E3" s="243"/>
      <c r="F3" s="243"/>
    </row>
    <row r="4" spans="1:8" ht="15.75" x14ac:dyDescent="0.25">
      <c r="A4" s="994" t="s">
        <v>613</v>
      </c>
      <c r="B4" s="994"/>
      <c r="C4" s="994"/>
      <c r="D4" s="994"/>
      <c r="E4" s="994"/>
      <c r="F4" s="994"/>
    </row>
    <row r="5" spans="1:8" ht="15.75" x14ac:dyDescent="0.25">
      <c r="A5" t="s">
        <v>530</v>
      </c>
      <c r="B5" s="795"/>
      <c r="C5" s="795"/>
      <c r="D5" s="795"/>
      <c r="E5" s="795"/>
      <c r="F5" s="795"/>
    </row>
    <row r="6" spans="1:8" ht="15.75" x14ac:dyDescent="0.25">
      <c r="A6" t="s">
        <v>368</v>
      </c>
      <c r="B6" t="s">
        <v>740</v>
      </c>
      <c r="C6" s="795"/>
      <c r="D6" s="795"/>
      <c r="E6" s="795"/>
      <c r="F6" s="795"/>
    </row>
    <row r="7" spans="1:8" ht="15.75" x14ac:dyDescent="0.25">
      <c r="A7" t="s">
        <v>369</v>
      </c>
      <c r="B7" t="s">
        <v>371</v>
      </c>
      <c r="C7" s="795"/>
      <c r="D7" s="795"/>
      <c r="E7" s="795"/>
      <c r="F7" s="795"/>
    </row>
    <row r="8" spans="1:8" ht="15.75" x14ac:dyDescent="0.25">
      <c r="A8" t="s">
        <v>370</v>
      </c>
      <c r="B8" t="s">
        <v>372</v>
      </c>
      <c r="C8" s="795"/>
      <c r="D8" s="795"/>
      <c r="E8" s="795"/>
      <c r="F8" s="795"/>
    </row>
    <row r="10" spans="1:8" x14ac:dyDescent="0.25">
      <c r="B10" s="249"/>
      <c r="C10" s="250"/>
      <c r="D10" s="250"/>
      <c r="E10" s="250"/>
      <c r="F10" s="250"/>
      <c r="G10" s="250"/>
      <c r="H10" s="555" t="s">
        <v>6</v>
      </c>
    </row>
    <row r="11" spans="1:8" s="697" customFormat="1" ht="27.75" customHeight="1" x14ac:dyDescent="0.25">
      <c r="A11" s="815" t="s">
        <v>534</v>
      </c>
      <c r="B11" s="815" t="s">
        <v>30</v>
      </c>
      <c r="C11" s="262" t="s">
        <v>122</v>
      </c>
      <c r="D11" s="262" t="s">
        <v>393</v>
      </c>
      <c r="E11" s="262" t="s">
        <v>394</v>
      </c>
      <c r="F11" s="262" t="s">
        <v>198</v>
      </c>
      <c r="G11" s="262" t="s">
        <v>29</v>
      </c>
      <c r="H11" s="816" t="s">
        <v>26</v>
      </c>
    </row>
    <row r="12" spans="1:8" ht="19.5" customHeight="1" x14ac:dyDescent="0.25">
      <c r="A12" s="581" t="s">
        <v>306</v>
      </c>
      <c r="B12" s="582" t="s">
        <v>31</v>
      </c>
      <c r="C12" s="62">
        <f>IFERROR(GETPIVOTDATA("Sum of Wholetime",'h13'!$A$41,"Council",B12),0)</f>
        <v>3</v>
      </c>
      <c r="D12" s="62">
        <f>IFERROR(GETPIVOTDATA("Sum of Wholetime and Retained",'h13'!$A$41,"Council",B12),0)</f>
        <v>0</v>
      </c>
      <c r="E12" s="62">
        <f>IFERROR(GETPIVOTDATA("Sum of Wholetime and Day",'h13'!$A$41,"Council",B12),0)</f>
        <v>0</v>
      </c>
      <c r="F12" s="62">
        <f>IFERROR(GETPIVOTDATA("Sum of Retained",'h13'!$A$41,"Council",B12),0)</f>
        <v>1</v>
      </c>
      <c r="G12" s="62">
        <f>IFERROR(GETPIVOTDATA("Sum of Volunteer",'h13'!$A$41,"Council",B12),0)</f>
        <v>0</v>
      </c>
      <c r="H12" s="252">
        <f>SUM(C12:G12)</f>
        <v>4</v>
      </c>
    </row>
    <row r="13" spans="1:8" x14ac:dyDescent="0.25">
      <c r="A13" s="110" t="s">
        <v>307</v>
      </c>
      <c r="B13" s="65" t="s">
        <v>32</v>
      </c>
      <c r="C13" s="62">
        <f>IFERROR(GETPIVOTDATA("Sum of Wholetime",'h13'!$A$41,"Council",B13),0)</f>
        <v>0</v>
      </c>
      <c r="D13" s="62">
        <f>IFERROR(GETPIVOTDATA("Sum of Wholetime and Retained",'h13'!$A$41,"Council",B13),0)</f>
        <v>1</v>
      </c>
      <c r="E13" s="62">
        <f>IFERROR(GETPIVOTDATA("Sum of Wholetime and Day",'h13'!$A$41,"Council",B13),0)</f>
        <v>0</v>
      </c>
      <c r="F13" s="62">
        <f>IFERROR(GETPIVOTDATA("Sum of Retained",'h13'!$A$41,"Council",B13),0)</f>
        <v>23</v>
      </c>
      <c r="G13" s="62">
        <f>IFERROR(GETPIVOTDATA("Sum of Volunteer",'h13'!$A$41,"Council",B13),0)</f>
        <v>0</v>
      </c>
      <c r="H13" s="109">
        <f t="shared" ref="H13:H43" si="0">SUM(C13:G13)</f>
        <v>24</v>
      </c>
    </row>
    <row r="14" spans="1:8" x14ac:dyDescent="0.25">
      <c r="A14" s="110" t="s">
        <v>313</v>
      </c>
      <c r="B14" s="65" t="s">
        <v>33</v>
      </c>
      <c r="C14" s="62">
        <f>IFERROR(GETPIVOTDATA("Sum of Wholetime",'h13'!$A$41,"Council",B14),0)</f>
        <v>0</v>
      </c>
      <c r="D14" s="62">
        <f>IFERROR(GETPIVOTDATA("Sum of Wholetime and Retained",'h13'!$A$41,"Council",B14),0)</f>
        <v>1</v>
      </c>
      <c r="E14" s="62">
        <f>IFERROR(GETPIVOTDATA("Sum of Wholetime and Day",'h13'!$A$41,"Council",B14),0)</f>
        <v>0</v>
      </c>
      <c r="F14" s="62">
        <f>IFERROR(GETPIVOTDATA("Sum of Retained",'h13'!$A$41,"Council",B14),0)</f>
        <v>5</v>
      </c>
      <c r="G14" s="62">
        <f>IFERROR(GETPIVOTDATA("Sum of Volunteer",'h13'!$A$41,"Council",B14),0)</f>
        <v>0</v>
      </c>
      <c r="H14" s="109">
        <f t="shared" si="0"/>
        <v>6</v>
      </c>
    </row>
    <row r="15" spans="1:8" x14ac:dyDescent="0.25">
      <c r="A15" s="110" t="s">
        <v>308</v>
      </c>
      <c r="B15" s="65" t="s">
        <v>34</v>
      </c>
      <c r="C15" s="62">
        <f>IFERROR(GETPIVOTDATA("Sum of Wholetime",'h13'!$A$41,"Council",B15),0)</f>
        <v>0</v>
      </c>
      <c r="D15" s="62">
        <f>IFERROR(GETPIVOTDATA("Sum of Wholetime and Retained",'h13'!$A$41,"Council",B15),0)</f>
        <v>2</v>
      </c>
      <c r="E15" s="62">
        <f>IFERROR(GETPIVOTDATA("Sum of Wholetime and Day",'h13'!$A$41,"Council",B15),0)</f>
        <v>0</v>
      </c>
      <c r="F15" s="62">
        <f>IFERROR(GETPIVOTDATA("Sum of Retained",'h13'!$A$41,"Council",B15),0)</f>
        <v>12</v>
      </c>
      <c r="G15" s="62">
        <f>IFERROR(GETPIVOTDATA("Sum of Volunteer",'h13'!$A$41,"Council",B15),0)</f>
        <v>25</v>
      </c>
      <c r="H15" s="109">
        <f t="shared" si="0"/>
        <v>39</v>
      </c>
    </row>
    <row r="16" spans="1:8" x14ac:dyDescent="0.25">
      <c r="A16" s="110" t="s">
        <v>309</v>
      </c>
      <c r="B16" s="65" t="s">
        <v>262</v>
      </c>
      <c r="C16" s="62">
        <f>IFERROR(GETPIVOTDATA("Sum of Wholetime",'h13'!$A$41,"Council",B16),0)</f>
        <v>7</v>
      </c>
      <c r="D16" s="62">
        <f>IFERROR(GETPIVOTDATA("Sum of Wholetime and Retained",'h13'!$A$41,"Council",B16),0)</f>
        <v>0</v>
      </c>
      <c r="E16" s="62">
        <f>IFERROR(GETPIVOTDATA("Sum of Wholetime and Day",'h13'!$A$41,"Council",B16),0)</f>
        <v>0</v>
      </c>
      <c r="F16" s="62">
        <f>IFERROR(GETPIVOTDATA("Sum of Retained",'h13'!$A$41,"Council",B16),0)</f>
        <v>1</v>
      </c>
      <c r="G16" s="62">
        <f>IFERROR(GETPIVOTDATA("Sum of Volunteer",'h13'!$A$41,"Council",B16),0)</f>
        <v>0</v>
      </c>
      <c r="H16" s="109">
        <f t="shared" si="0"/>
        <v>8</v>
      </c>
    </row>
    <row r="17" spans="1:8" x14ac:dyDescent="0.25">
      <c r="A17" s="110" t="s">
        <v>287</v>
      </c>
      <c r="B17" s="65" t="s">
        <v>35</v>
      </c>
      <c r="C17" s="62">
        <f>IFERROR(GETPIVOTDATA("Sum of Wholetime",'h13'!$A$41,"Council",B17),0)</f>
        <v>0</v>
      </c>
      <c r="D17" s="62">
        <f>IFERROR(GETPIVOTDATA("Sum of Wholetime and Retained",'h13'!$A$41,"Council",B17),0)</f>
        <v>1</v>
      </c>
      <c r="E17" s="62">
        <f>IFERROR(GETPIVOTDATA("Sum of Wholetime and Day",'h13'!$A$41,"Council",B17),0)</f>
        <v>0</v>
      </c>
      <c r="F17" s="62">
        <f>IFERROR(GETPIVOTDATA("Sum of Retained",'h13'!$A$41,"Council",B17),0)</f>
        <v>1</v>
      </c>
      <c r="G17" s="62">
        <f>IFERROR(GETPIVOTDATA("Sum of Volunteer",'h13'!$A$41,"Council",B17),0)</f>
        <v>0</v>
      </c>
      <c r="H17" s="109">
        <f t="shared" si="0"/>
        <v>2</v>
      </c>
    </row>
    <row r="18" spans="1:8" x14ac:dyDescent="0.25">
      <c r="A18" s="110" t="s">
        <v>288</v>
      </c>
      <c r="B18" s="65" t="s">
        <v>36</v>
      </c>
      <c r="C18" s="62">
        <f>IFERROR(GETPIVOTDATA("Sum of Wholetime",'h13'!$A$41,"Council",B18),0)</f>
        <v>0</v>
      </c>
      <c r="D18" s="62">
        <f>IFERROR(GETPIVOTDATA("Sum of Wholetime and Retained",'h13'!$A$41,"Council",B18),0)</f>
        <v>1</v>
      </c>
      <c r="E18" s="62">
        <f>IFERROR(GETPIVOTDATA("Sum of Wholetime and Day",'h13'!$A$41,"Council",B18),0)</f>
        <v>0</v>
      </c>
      <c r="F18" s="62">
        <f>IFERROR(GETPIVOTDATA("Sum of Retained",'h13'!$A$41,"Council",B18),0)</f>
        <v>15</v>
      </c>
      <c r="G18" s="62">
        <f>IFERROR(GETPIVOTDATA("Sum of Volunteer",'h13'!$A$41,"Council",B18),0)</f>
        <v>1</v>
      </c>
      <c r="H18" s="109">
        <f t="shared" si="0"/>
        <v>17</v>
      </c>
    </row>
    <row r="19" spans="1:8" x14ac:dyDescent="0.25">
      <c r="A19" s="110" t="s">
        <v>314</v>
      </c>
      <c r="B19" s="65" t="s">
        <v>37</v>
      </c>
      <c r="C19" s="62">
        <f>IFERROR(GETPIVOTDATA("Sum of Wholetime",'h13'!$A$41,"Council",B19),0)</f>
        <v>3</v>
      </c>
      <c r="D19" s="62">
        <f>IFERROR(GETPIVOTDATA("Sum of Wholetime and Retained",'h13'!$A$41,"Council",B19),0)</f>
        <v>1</v>
      </c>
      <c r="E19" s="62">
        <f>IFERROR(GETPIVOTDATA("Sum of Wholetime and Day",'h13'!$A$41,"Council",B19),0)</f>
        <v>0</v>
      </c>
      <c r="F19" s="62">
        <f>IFERROR(GETPIVOTDATA("Sum of Retained",'h13'!$A$41,"Council",B19),0)</f>
        <v>0</v>
      </c>
      <c r="G19" s="62">
        <f>IFERROR(GETPIVOTDATA("Sum of Volunteer",'h13'!$A$41,"Council",B19),0)</f>
        <v>0</v>
      </c>
      <c r="H19" s="109">
        <f t="shared" si="0"/>
        <v>4</v>
      </c>
    </row>
    <row r="20" spans="1:8" x14ac:dyDescent="0.25">
      <c r="A20" s="110" t="s">
        <v>289</v>
      </c>
      <c r="B20" s="65" t="s">
        <v>38</v>
      </c>
      <c r="C20" s="62">
        <f>IFERROR(GETPIVOTDATA("Sum of Wholetime",'h13'!$A$41,"Council",B20),0)</f>
        <v>1</v>
      </c>
      <c r="D20" s="62">
        <f>IFERROR(GETPIVOTDATA("Sum of Wholetime and Retained",'h13'!$A$41,"Council",B20),0)</f>
        <v>0</v>
      </c>
      <c r="E20" s="62">
        <f>IFERROR(GETPIVOTDATA("Sum of Wholetime and Day",'h13'!$A$41,"Council",B20),0)</f>
        <v>0</v>
      </c>
      <c r="F20" s="62">
        <f>IFERROR(GETPIVOTDATA("Sum of Retained",'h13'!$A$41,"Council",B20),0)</f>
        <v>7</v>
      </c>
      <c r="G20" s="62">
        <f>IFERROR(GETPIVOTDATA("Sum of Volunteer",'h13'!$A$41,"Council",B20),0)</f>
        <v>0</v>
      </c>
      <c r="H20" s="109">
        <f t="shared" si="0"/>
        <v>8</v>
      </c>
    </row>
    <row r="21" spans="1:8" x14ac:dyDescent="0.25">
      <c r="A21" s="110" t="s">
        <v>316</v>
      </c>
      <c r="B21" s="65" t="s">
        <v>39</v>
      </c>
      <c r="C21" s="62">
        <f>IFERROR(GETPIVOTDATA("Sum of Wholetime",'h13'!$A$41,"Council",B21),0)</f>
        <v>3</v>
      </c>
      <c r="D21" s="62">
        <f>IFERROR(GETPIVOTDATA("Sum of Wholetime and Retained",'h13'!$A$41,"Council",B21),0)</f>
        <v>0</v>
      </c>
      <c r="E21" s="62">
        <f>IFERROR(GETPIVOTDATA("Sum of Wholetime and Day",'h13'!$A$41,"Council",B21),0)</f>
        <v>0</v>
      </c>
      <c r="F21" s="62">
        <f>IFERROR(GETPIVOTDATA("Sum of Retained",'h13'!$A$41,"Council",B21),0)</f>
        <v>0</v>
      </c>
      <c r="G21" s="62">
        <f>IFERROR(GETPIVOTDATA("Sum of Volunteer",'h13'!$A$41,"Council",B21),0)</f>
        <v>0</v>
      </c>
      <c r="H21" s="109">
        <f t="shared" si="0"/>
        <v>3</v>
      </c>
    </row>
    <row r="22" spans="1:8" x14ac:dyDescent="0.25">
      <c r="A22" s="110" t="s">
        <v>290</v>
      </c>
      <c r="B22" s="65" t="s">
        <v>40</v>
      </c>
      <c r="C22" s="62">
        <f>IFERROR(GETPIVOTDATA("Sum of Wholetime",'h13'!$A$41,"Council",B22),0)</f>
        <v>1</v>
      </c>
      <c r="D22" s="62">
        <f>IFERROR(GETPIVOTDATA("Sum of Wholetime and Retained",'h13'!$A$41,"Council",B22),0)</f>
        <v>0</v>
      </c>
      <c r="E22" s="62">
        <f>IFERROR(GETPIVOTDATA("Sum of Wholetime and Day",'h13'!$A$41,"Council",B22),0)</f>
        <v>0</v>
      </c>
      <c r="F22" s="62">
        <f>IFERROR(GETPIVOTDATA("Sum of Retained",'h13'!$A$41,"Council",B22),0)</f>
        <v>5</v>
      </c>
      <c r="G22" s="62">
        <f>IFERROR(GETPIVOTDATA("Sum of Volunteer",'h13'!$A$41,"Council",B22),0)</f>
        <v>0</v>
      </c>
      <c r="H22" s="109">
        <f t="shared" si="0"/>
        <v>6</v>
      </c>
    </row>
    <row r="23" spans="1:8" x14ac:dyDescent="0.25">
      <c r="A23" s="110" t="s">
        <v>291</v>
      </c>
      <c r="B23" s="65" t="s">
        <v>41</v>
      </c>
      <c r="C23" s="62">
        <f>IFERROR(GETPIVOTDATA("Sum of Wholetime",'h13'!$A$41,"Council",B23),0)</f>
        <v>2</v>
      </c>
      <c r="D23" s="62">
        <f>IFERROR(GETPIVOTDATA("Sum of Wholetime and Retained",'h13'!$A$41,"Council",B23),0)</f>
        <v>0</v>
      </c>
      <c r="E23" s="62">
        <f>IFERROR(GETPIVOTDATA("Sum of Wholetime and Day",'h13'!$A$41,"Council",B23),0)</f>
        <v>0</v>
      </c>
      <c r="F23" s="62">
        <f>IFERROR(GETPIVOTDATA("Sum of Retained",'h13'!$A$41,"Council",B23),0)</f>
        <v>0</v>
      </c>
      <c r="G23" s="62">
        <f>IFERROR(GETPIVOTDATA("Sum of Volunteer",'h13'!$A$41,"Council",B23),0)</f>
        <v>0</v>
      </c>
      <c r="H23" s="109">
        <f t="shared" si="0"/>
        <v>2</v>
      </c>
    </row>
    <row r="24" spans="1:8" x14ac:dyDescent="0.25">
      <c r="A24" s="110" t="s">
        <v>293</v>
      </c>
      <c r="B24" s="65" t="s">
        <v>42</v>
      </c>
      <c r="C24" s="62">
        <f>IFERROR(GETPIVOTDATA("Sum of Wholetime",'h13'!$A$41,"Council",B24),0)</f>
        <v>0</v>
      </c>
      <c r="D24" s="62">
        <f>IFERROR(GETPIVOTDATA("Sum of Wholetime and Retained",'h13'!$A$41,"Council",B24),0)</f>
        <v>3</v>
      </c>
      <c r="E24" s="62">
        <f>IFERROR(GETPIVOTDATA("Sum of Wholetime and Day",'h13'!$A$41,"Council",B24),0)</f>
        <v>0</v>
      </c>
      <c r="F24" s="62">
        <f>IFERROR(GETPIVOTDATA("Sum of Retained",'h13'!$A$41,"Council",B24),0)</f>
        <v>2</v>
      </c>
      <c r="G24" s="62">
        <f>IFERROR(GETPIVOTDATA("Sum of Volunteer",'h13'!$A$41,"Council",B24),0)</f>
        <v>0</v>
      </c>
      <c r="H24" s="109">
        <f t="shared" si="0"/>
        <v>5</v>
      </c>
    </row>
    <row r="25" spans="1:8" x14ac:dyDescent="0.25">
      <c r="A25" s="110" t="s">
        <v>318</v>
      </c>
      <c r="B25" s="65" t="s">
        <v>43</v>
      </c>
      <c r="C25" s="62">
        <f>IFERROR(GETPIVOTDATA("Sum of Wholetime",'h13'!$A$41,"Council",B25),0)</f>
        <v>5</v>
      </c>
      <c r="D25" s="62">
        <f>IFERROR(GETPIVOTDATA("Sum of Wholetime and Retained",'h13'!$A$41,"Council",B25),0)</f>
        <v>0</v>
      </c>
      <c r="E25" s="62">
        <f>IFERROR(GETPIVOTDATA("Sum of Wholetime and Day",'h13'!$A$41,"Council",B25),0)</f>
        <v>0</v>
      </c>
      <c r="F25" s="62">
        <f>IFERROR(GETPIVOTDATA("Sum of Retained",'h13'!$A$41,"Council",B25),0)</f>
        <v>8</v>
      </c>
      <c r="G25" s="62">
        <f>IFERROR(GETPIVOTDATA("Sum of Volunteer",'h13'!$A$41,"Council",B25),0)</f>
        <v>0</v>
      </c>
      <c r="H25" s="109">
        <f t="shared" si="0"/>
        <v>13</v>
      </c>
    </row>
    <row r="26" spans="1:8" x14ac:dyDescent="0.25">
      <c r="A26" s="110" t="s">
        <v>317</v>
      </c>
      <c r="B26" s="65" t="s">
        <v>124</v>
      </c>
      <c r="C26" s="62">
        <f>IFERROR(GETPIVOTDATA("Sum of Wholetime",'h13'!$A$41,"Council",B26),0)</f>
        <v>11</v>
      </c>
      <c r="D26" s="62">
        <f>IFERROR(GETPIVOTDATA("Sum of Wholetime and Retained",'h13'!$A$41,"Council",B26),0)</f>
        <v>0</v>
      </c>
      <c r="E26" s="62">
        <f>IFERROR(GETPIVOTDATA("Sum of Wholetime and Day",'h13'!$A$41,"Council",B26),0)</f>
        <v>0</v>
      </c>
      <c r="F26" s="62">
        <f>IFERROR(GETPIVOTDATA("Sum of Retained",'h13'!$A$41,"Council",B26),0)</f>
        <v>0</v>
      </c>
      <c r="G26" s="62">
        <f>IFERROR(GETPIVOTDATA("Sum of Volunteer",'h13'!$A$41,"Council",B26),0)</f>
        <v>0</v>
      </c>
      <c r="H26" s="109">
        <f t="shared" si="0"/>
        <v>11</v>
      </c>
    </row>
    <row r="27" spans="1:8" x14ac:dyDescent="0.25">
      <c r="A27" s="110" t="s">
        <v>294</v>
      </c>
      <c r="B27" s="65" t="s">
        <v>44</v>
      </c>
      <c r="C27" s="62">
        <f>IFERROR(GETPIVOTDATA("Sum of Wholetime",'h13'!$A$41,"Council",B27),0)</f>
        <v>0</v>
      </c>
      <c r="D27" s="62">
        <f>IFERROR(GETPIVOTDATA("Sum of Wholetime and Retained",'h13'!$A$41,"Council",B27),0)</f>
        <v>1</v>
      </c>
      <c r="E27" s="62">
        <f>IFERROR(GETPIVOTDATA("Sum of Wholetime and Day",'h13'!$A$41,"Council",B27),0)</f>
        <v>0</v>
      </c>
      <c r="F27" s="62">
        <f>IFERROR(GETPIVOTDATA("Sum of Retained",'h13'!$A$41,"Council",B27),0)</f>
        <v>51</v>
      </c>
      <c r="G27" s="62">
        <f>IFERROR(GETPIVOTDATA("Sum of Volunteer",'h13'!$A$41,"Council",B27),0)</f>
        <v>9</v>
      </c>
      <c r="H27" s="109">
        <f t="shared" si="0"/>
        <v>61</v>
      </c>
    </row>
    <row r="28" spans="1:8" x14ac:dyDescent="0.25">
      <c r="A28" s="110" t="s">
        <v>295</v>
      </c>
      <c r="B28" s="65" t="s">
        <v>45</v>
      </c>
      <c r="C28" s="62">
        <f>IFERROR(GETPIVOTDATA("Sum of Wholetime",'h13'!$A$41,"Council",B28),0)</f>
        <v>0</v>
      </c>
      <c r="D28" s="62">
        <f>IFERROR(GETPIVOTDATA("Sum of Wholetime and Retained",'h13'!$A$41,"Council",B28),0)</f>
        <v>2</v>
      </c>
      <c r="E28" s="62">
        <f>IFERROR(GETPIVOTDATA("Sum of Wholetime and Day",'h13'!$A$41,"Council",B28),0)</f>
        <v>0</v>
      </c>
      <c r="F28" s="62">
        <f>IFERROR(GETPIVOTDATA("Sum of Retained",'h13'!$A$41,"Council",B28),0)</f>
        <v>1</v>
      </c>
      <c r="G28" s="62">
        <f>IFERROR(GETPIVOTDATA("Sum of Volunteer",'h13'!$A$41,"Council",B28),0)</f>
        <v>0</v>
      </c>
      <c r="H28" s="109">
        <f t="shared" si="0"/>
        <v>3</v>
      </c>
    </row>
    <row r="29" spans="1:8" x14ac:dyDescent="0.25">
      <c r="A29" s="110" t="s">
        <v>296</v>
      </c>
      <c r="B29" s="65" t="s">
        <v>46</v>
      </c>
      <c r="C29" s="62">
        <f>IFERROR(GETPIVOTDATA("Sum of Wholetime",'h13'!$A$41,"Council",B29),0)</f>
        <v>1</v>
      </c>
      <c r="D29" s="62">
        <f>IFERROR(GETPIVOTDATA("Sum of Wholetime and Retained",'h13'!$A$41,"Council",B29),0)</f>
        <v>0</v>
      </c>
      <c r="E29" s="62">
        <f>IFERROR(GETPIVOTDATA("Sum of Wholetime and Day",'h13'!$A$41,"Council",B29),0)</f>
        <v>0</v>
      </c>
      <c r="F29" s="62">
        <f>IFERROR(GETPIVOTDATA("Sum of Retained",'h13'!$A$41,"Council",B29),0)</f>
        <v>1</v>
      </c>
      <c r="G29" s="62">
        <f>IFERROR(GETPIVOTDATA("Sum of Volunteer",'h13'!$A$41,"Council",B29),0)</f>
        <v>0</v>
      </c>
      <c r="H29" s="109">
        <f t="shared" si="0"/>
        <v>2</v>
      </c>
    </row>
    <row r="30" spans="1:8" x14ac:dyDescent="0.25">
      <c r="A30" s="110" t="s">
        <v>297</v>
      </c>
      <c r="B30" s="65" t="s">
        <v>47</v>
      </c>
      <c r="C30" s="62">
        <f>IFERROR(GETPIVOTDATA("Sum of Wholetime",'h13'!$A$41,"Council",B30),0)</f>
        <v>0</v>
      </c>
      <c r="D30" s="62">
        <f>IFERROR(GETPIVOTDATA("Sum of Wholetime and Retained",'h13'!$A$41,"Council",B30),0)</f>
        <v>1</v>
      </c>
      <c r="E30" s="62">
        <f>IFERROR(GETPIVOTDATA("Sum of Wholetime and Day",'h13'!$A$41,"Council",B30),0)</f>
        <v>0</v>
      </c>
      <c r="F30" s="62">
        <f>IFERROR(GETPIVOTDATA("Sum of Retained",'h13'!$A$41,"Council",B30),0)</f>
        <v>10</v>
      </c>
      <c r="G30" s="62">
        <f>IFERROR(GETPIVOTDATA("Sum of Volunteer",'h13'!$A$41,"Council",B30),0)</f>
        <v>0</v>
      </c>
      <c r="H30" s="109">
        <f t="shared" si="0"/>
        <v>11</v>
      </c>
    </row>
    <row r="31" spans="1:8" x14ac:dyDescent="0.25">
      <c r="A31" s="110" t="s">
        <v>292</v>
      </c>
      <c r="B31" s="65" t="s">
        <v>48</v>
      </c>
      <c r="C31" s="62">
        <f>IFERROR(GETPIVOTDATA("Sum of Wholetime",'h13'!$A$41,"Council",B31),0)</f>
        <v>0</v>
      </c>
      <c r="D31" s="62">
        <f>IFERROR(GETPIVOTDATA("Sum of Wholetime and Retained",'h13'!$A$41,"Council",B31),0)</f>
        <v>0</v>
      </c>
      <c r="E31" s="62">
        <f>IFERROR(GETPIVOTDATA("Sum of Wholetime and Day",'h13'!$A$41,"Council",B31),0)</f>
        <v>0</v>
      </c>
      <c r="F31" s="62">
        <f>IFERROR(GETPIVOTDATA("Sum of Retained",'h13'!$A$41,"Council",B31),0)</f>
        <v>14</v>
      </c>
      <c r="G31" s="62">
        <f>IFERROR(GETPIVOTDATA("Sum of Volunteer",'h13'!$A$41,"Council",B31),0)</f>
        <v>0</v>
      </c>
      <c r="H31" s="109">
        <f t="shared" si="0"/>
        <v>14</v>
      </c>
    </row>
    <row r="32" spans="1:8" x14ac:dyDescent="0.25">
      <c r="A32" s="110" t="s">
        <v>298</v>
      </c>
      <c r="B32" s="65" t="s">
        <v>49</v>
      </c>
      <c r="C32" s="62">
        <f>IFERROR(GETPIVOTDATA("Sum of Wholetime",'h13'!$A$41,"Council",B32),0)</f>
        <v>1</v>
      </c>
      <c r="D32" s="62">
        <f>IFERROR(GETPIVOTDATA("Sum of Wholetime and Retained",'h13'!$A$41,"Council",B32),0)</f>
        <v>2</v>
      </c>
      <c r="E32" s="62">
        <f>IFERROR(GETPIVOTDATA("Sum of Wholetime and Day",'h13'!$A$41,"Council",B32),0)</f>
        <v>0</v>
      </c>
      <c r="F32" s="62">
        <f>IFERROR(GETPIVOTDATA("Sum of Retained",'h13'!$A$41,"Council",B32),0)</f>
        <v>8</v>
      </c>
      <c r="G32" s="62">
        <f>IFERROR(GETPIVOTDATA("Sum of Volunteer",'h13'!$A$41,"Council",B32),0)</f>
        <v>3</v>
      </c>
      <c r="H32" s="109">
        <f t="shared" si="0"/>
        <v>14</v>
      </c>
    </row>
    <row r="33" spans="1:9" x14ac:dyDescent="0.25">
      <c r="A33" s="110" t="s">
        <v>315</v>
      </c>
      <c r="B33" s="65" t="s">
        <v>50</v>
      </c>
      <c r="C33" s="62">
        <f>IFERROR(GETPIVOTDATA("Sum of Wholetime",'h13'!$A$41,"Council",B33),0)</f>
        <v>4</v>
      </c>
      <c r="D33" s="62">
        <f>IFERROR(GETPIVOTDATA("Sum of Wholetime and Retained",'h13'!$A$41,"Council",B33),0)</f>
        <v>0</v>
      </c>
      <c r="E33" s="62">
        <f>IFERROR(GETPIVOTDATA("Sum of Wholetime and Day",'h13'!$A$41,"Council",B33),0)</f>
        <v>0</v>
      </c>
      <c r="F33" s="62">
        <f>IFERROR(GETPIVOTDATA("Sum of Retained",'h13'!$A$41,"Council",B33),0)</f>
        <v>3</v>
      </c>
      <c r="G33" s="62">
        <f>IFERROR(GETPIVOTDATA("Sum of Volunteer",'h13'!$A$41,"Council",B33),0)</f>
        <v>0</v>
      </c>
      <c r="H33" s="109">
        <f t="shared" si="0"/>
        <v>7</v>
      </c>
    </row>
    <row r="34" spans="1:9" x14ac:dyDescent="0.25">
      <c r="A34" s="110" t="s">
        <v>299</v>
      </c>
      <c r="B34" s="65" t="s">
        <v>51</v>
      </c>
      <c r="C34" s="62">
        <f>IFERROR(GETPIVOTDATA("Sum of Wholetime",'h13'!$A$41,"Council",B34),0)</f>
        <v>0</v>
      </c>
      <c r="D34" s="62">
        <f>IFERROR(GETPIVOTDATA("Sum of Wholetime and Retained",'h13'!$A$41,"Council",B34),0)</f>
        <v>0</v>
      </c>
      <c r="E34" s="62">
        <f>IFERROR(GETPIVOTDATA("Sum of Wholetime and Day",'h13'!$A$41,"Council",B34),0)</f>
        <v>0</v>
      </c>
      <c r="F34" s="62">
        <f>IFERROR(GETPIVOTDATA("Sum of Retained",'h13'!$A$41,"Council",B34),0)</f>
        <v>12</v>
      </c>
      <c r="G34" s="62">
        <f>IFERROR(GETPIVOTDATA("Sum of Volunteer",'h13'!$A$41,"Council",B34),0)</f>
        <v>0</v>
      </c>
      <c r="H34" s="109">
        <f t="shared" si="0"/>
        <v>12</v>
      </c>
    </row>
    <row r="35" spans="1:9" x14ac:dyDescent="0.25">
      <c r="A35" s="110" t="s">
        <v>300</v>
      </c>
      <c r="B35" s="65" t="s">
        <v>52</v>
      </c>
      <c r="C35" s="62">
        <f>IFERROR(GETPIVOTDATA("Sum of Wholetime",'h13'!$A$41,"Council",B35),0)</f>
        <v>1</v>
      </c>
      <c r="D35" s="62">
        <f>IFERROR(GETPIVOTDATA("Sum of Wholetime and Retained",'h13'!$A$41,"Council",B35),0)</f>
        <v>0</v>
      </c>
      <c r="E35" s="62">
        <f>IFERROR(GETPIVOTDATA("Sum of Wholetime and Day",'h13'!$A$41,"Council",B35),0)</f>
        <v>0</v>
      </c>
      <c r="F35" s="62">
        <f>IFERROR(GETPIVOTDATA("Sum of Retained",'h13'!$A$41,"Council",B35),0)</f>
        <v>10</v>
      </c>
      <c r="G35" s="62">
        <f>IFERROR(GETPIVOTDATA("Sum of Volunteer",'h13'!$A$41,"Council",B35),0)</f>
        <v>3</v>
      </c>
      <c r="H35" s="109">
        <f t="shared" si="0"/>
        <v>14</v>
      </c>
    </row>
    <row r="36" spans="1:9" x14ac:dyDescent="0.25">
      <c r="A36" s="110" t="s">
        <v>310</v>
      </c>
      <c r="B36" s="65" t="s">
        <v>53</v>
      </c>
      <c r="C36" s="62">
        <f>IFERROR(GETPIVOTDATA("Sum of Wholetime",'h13'!$A$41,"Council",B36),0)</f>
        <v>2</v>
      </c>
      <c r="D36" s="62">
        <f>IFERROR(GETPIVOTDATA("Sum of Wholetime and Retained",'h13'!$A$41,"Council",B36),0)</f>
        <v>1</v>
      </c>
      <c r="E36" s="62">
        <f>IFERROR(GETPIVOTDATA("Sum of Wholetime and Day",'h13'!$A$41,"Council",B36),0)</f>
        <v>0</v>
      </c>
      <c r="F36" s="62">
        <f>IFERROR(GETPIVOTDATA("Sum of Retained",'h13'!$A$41,"Council",B36),0)</f>
        <v>0</v>
      </c>
      <c r="G36" s="62">
        <f>IFERROR(GETPIVOTDATA("Sum of Volunteer",'h13'!$A$41,"Council",B36),0)</f>
        <v>0</v>
      </c>
      <c r="H36" s="109">
        <f t="shared" si="0"/>
        <v>3</v>
      </c>
    </row>
    <row r="37" spans="1:9" x14ac:dyDescent="0.25">
      <c r="A37" s="110" t="s">
        <v>301</v>
      </c>
      <c r="B37" s="65" t="s">
        <v>54</v>
      </c>
      <c r="C37" s="62">
        <f>IFERROR(GETPIVOTDATA("Sum of Wholetime",'h13'!$A$41,"Council",B37),0)</f>
        <v>0</v>
      </c>
      <c r="D37" s="62">
        <f>IFERROR(GETPIVOTDATA("Sum of Wholetime and Retained",'h13'!$A$41,"Council",B37),0)</f>
        <v>2</v>
      </c>
      <c r="E37" s="62">
        <f>IFERROR(GETPIVOTDATA("Sum of Wholetime and Day",'h13'!$A$41,"Council",B37),0)</f>
        <v>0</v>
      </c>
      <c r="F37" s="62">
        <f>IFERROR(GETPIVOTDATA("Sum of Retained",'h13'!$A$41,"Council",B37),0)</f>
        <v>11</v>
      </c>
      <c r="G37" s="62">
        <f>IFERROR(GETPIVOTDATA("Sum of Volunteer",'h13'!$A$41,"Council",B37),0)</f>
        <v>0</v>
      </c>
      <c r="H37" s="109">
        <f t="shared" si="0"/>
        <v>13</v>
      </c>
    </row>
    <row r="38" spans="1:9" x14ac:dyDescent="0.25">
      <c r="A38" s="110" t="s">
        <v>302</v>
      </c>
      <c r="B38" s="65" t="s">
        <v>55</v>
      </c>
      <c r="C38" s="62">
        <f>IFERROR(GETPIVOTDATA("Sum of Wholetime",'h13'!$A$41,"Council",B38),0)</f>
        <v>0</v>
      </c>
      <c r="D38" s="62">
        <f>IFERROR(GETPIVOTDATA("Sum of Wholetime and Retained",'h13'!$A$41,"Council",B38),0)</f>
        <v>0</v>
      </c>
      <c r="E38" s="62">
        <f>IFERROR(GETPIVOTDATA("Sum of Wholetime and Day",'h13'!$A$41,"Council",B38),0)</f>
        <v>0</v>
      </c>
      <c r="F38" s="62">
        <f>IFERROR(GETPIVOTDATA("Sum of Retained",'h13'!$A$41,"Council",B38),0)</f>
        <v>14</v>
      </c>
      <c r="G38" s="62">
        <f>IFERROR(GETPIVOTDATA("Sum of Volunteer",'h13'!$A$41,"Council",B38),0)</f>
        <v>0</v>
      </c>
      <c r="H38" s="109">
        <f t="shared" si="0"/>
        <v>14</v>
      </c>
    </row>
    <row r="39" spans="1:9" x14ac:dyDescent="0.25">
      <c r="A39" s="110" t="s">
        <v>303</v>
      </c>
      <c r="B39" s="65" t="s">
        <v>56</v>
      </c>
      <c r="C39" s="62">
        <f>IFERROR(GETPIVOTDATA("Sum of Wholetime",'h13'!$A$41,"Council",B39),0)</f>
        <v>0</v>
      </c>
      <c r="D39" s="62">
        <f>IFERROR(GETPIVOTDATA("Sum of Wholetime and Retained",'h13'!$A$41,"Council",B39),0)</f>
        <v>1</v>
      </c>
      <c r="E39" s="62">
        <f>IFERROR(GETPIVOTDATA("Sum of Wholetime and Day",'h13'!$A$41,"Council",B39),0)</f>
        <v>0</v>
      </c>
      <c r="F39" s="62">
        <f>IFERROR(GETPIVOTDATA("Sum of Retained",'h13'!$A$41,"Council",B39),0)</f>
        <v>4</v>
      </c>
      <c r="G39" s="62">
        <f>IFERROR(GETPIVOTDATA("Sum of Volunteer",'h13'!$A$41,"Council",B39),0)</f>
        <v>0</v>
      </c>
      <c r="H39" s="109">
        <f t="shared" si="0"/>
        <v>5</v>
      </c>
    </row>
    <row r="40" spans="1:9" x14ac:dyDescent="0.25">
      <c r="A40" s="110" t="s">
        <v>304</v>
      </c>
      <c r="B40" s="65" t="s">
        <v>57</v>
      </c>
      <c r="C40" s="62">
        <f>IFERROR(GETPIVOTDATA("Sum of Wholetime",'h13'!$A$41,"Council",B40),0)</f>
        <v>3</v>
      </c>
      <c r="D40" s="62">
        <f>IFERROR(GETPIVOTDATA("Sum of Wholetime and Retained",'h13'!$A$41,"Council",B40),0)</f>
        <v>1</v>
      </c>
      <c r="E40" s="62">
        <f>IFERROR(GETPIVOTDATA("Sum of Wholetime and Day",'h13'!$A$41,"Council",B40),0)</f>
        <v>0</v>
      </c>
      <c r="F40" s="62">
        <f>IFERROR(GETPIVOTDATA("Sum of Retained",'h13'!$A$41,"Council",B40),0)</f>
        <v>7</v>
      </c>
      <c r="G40" s="62">
        <f>IFERROR(GETPIVOTDATA("Sum of Volunteer",'h13'!$A$41,"Council",B40),0)</f>
        <v>1</v>
      </c>
      <c r="H40" s="109">
        <f t="shared" si="0"/>
        <v>12</v>
      </c>
    </row>
    <row r="41" spans="1:9" x14ac:dyDescent="0.25">
      <c r="A41" s="110" t="s">
        <v>305</v>
      </c>
      <c r="B41" s="65" t="s">
        <v>58</v>
      </c>
      <c r="C41" s="62">
        <f>IFERROR(GETPIVOTDATA("Sum of Wholetime",'h13'!$A$41,"Council",B41),0)</f>
        <v>1</v>
      </c>
      <c r="D41" s="62">
        <f>IFERROR(GETPIVOTDATA("Sum of Wholetime and Retained",'h13'!$A$41,"Council",B41),0)</f>
        <v>0</v>
      </c>
      <c r="E41" s="62">
        <f>IFERROR(GETPIVOTDATA("Sum of Wholetime and Day",'h13'!$A$41,"Council",B41),0)</f>
        <v>0</v>
      </c>
      <c r="F41" s="62">
        <f>IFERROR(GETPIVOTDATA("Sum of Retained",'h13'!$A$41,"Council",B41),0)</f>
        <v>9</v>
      </c>
      <c r="G41" s="62">
        <f>IFERROR(GETPIVOTDATA("Sum of Volunteer",'h13'!$A$41,"Council",B41),0)</f>
        <v>0</v>
      </c>
      <c r="H41" s="109">
        <f t="shared" si="0"/>
        <v>10</v>
      </c>
    </row>
    <row r="42" spans="1:9" x14ac:dyDescent="0.25">
      <c r="A42" s="110" t="s">
        <v>311</v>
      </c>
      <c r="B42" s="65" t="s">
        <v>59</v>
      </c>
      <c r="C42" s="62">
        <f>IFERROR(GETPIVOTDATA("Sum of Wholetime",'h13'!$A$41,"Council",B42),0)</f>
        <v>1</v>
      </c>
      <c r="D42" s="62">
        <f>IFERROR(GETPIVOTDATA("Sum of Wholetime and Retained",'h13'!$A$41,"Council",B42),0)</f>
        <v>1</v>
      </c>
      <c r="E42" s="62">
        <f>IFERROR(GETPIVOTDATA("Sum of Wholetime and Day",'h13'!$A$41,"Council",B42),0)</f>
        <v>0</v>
      </c>
      <c r="F42" s="62">
        <f>IFERROR(GETPIVOTDATA("Sum of Retained",'h13'!$A$41,"Council",B42),0)</f>
        <v>1</v>
      </c>
      <c r="G42" s="62">
        <f>IFERROR(GETPIVOTDATA("Sum of Volunteer",'h13'!$A$41,"Council",B42),0)</f>
        <v>0</v>
      </c>
      <c r="H42" s="109">
        <f t="shared" si="0"/>
        <v>3</v>
      </c>
    </row>
    <row r="43" spans="1:9" x14ac:dyDescent="0.25">
      <c r="A43" s="110" t="s">
        <v>312</v>
      </c>
      <c r="B43" s="65" t="s">
        <v>60</v>
      </c>
      <c r="C43" s="62">
        <f>IFERROR(GETPIVOTDATA("Sum of Wholetime",'h13'!$A$41,"Council",B43),0)</f>
        <v>0</v>
      </c>
      <c r="D43" s="62">
        <f>IFERROR(GETPIVOTDATA("Sum of Wholetime and Retained",'h13'!$A$41,"Council",B43),0)</f>
        <v>1</v>
      </c>
      <c r="E43" s="62">
        <f>IFERROR(GETPIVOTDATA("Sum of Wholetime and Day",'h13'!$A$41,"Council",B43),0)</f>
        <v>1</v>
      </c>
      <c r="F43" s="62">
        <f>IFERROR(GETPIVOTDATA("Sum of Retained",'h13'!$A$41,"Council",B43),0)</f>
        <v>4</v>
      </c>
      <c r="G43" s="62">
        <f>IFERROR(GETPIVOTDATA("Sum of Volunteer",'h13'!$A$41,"Council",B43),0)</f>
        <v>0</v>
      </c>
      <c r="H43" s="109">
        <f t="shared" si="0"/>
        <v>6</v>
      </c>
    </row>
    <row r="44" spans="1:9" ht="21.75" customHeight="1" thickBot="1" x14ac:dyDescent="0.3">
      <c r="A44" s="41"/>
      <c r="B44" s="41" t="s">
        <v>840</v>
      </c>
      <c r="C44" s="87">
        <f t="shared" ref="C44:H44" si="1">SUM(C12:C43)</f>
        <v>50</v>
      </c>
      <c r="D44" s="87">
        <f t="shared" si="1"/>
        <v>23</v>
      </c>
      <c r="E44" s="87">
        <f t="shared" si="1"/>
        <v>1</v>
      </c>
      <c r="F44" s="87">
        <f t="shared" si="1"/>
        <v>240</v>
      </c>
      <c r="G44" s="87">
        <f t="shared" si="1"/>
        <v>42</v>
      </c>
      <c r="H44" s="87">
        <f t="shared" si="1"/>
        <v>356</v>
      </c>
    </row>
    <row r="45" spans="1:9" x14ac:dyDescent="0.25">
      <c r="B45" s="253"/>
      <c r="C45" s="254"/>
      <c r="D45" s="254"/>
      <c r="E45" s="254"/>
      <c r="F45" s="254"/>
      <c r="G45" s="254"/>
      <c r="H45" s="254"/>
    </row>
    <row r="46" spans="1:9" x14ac:dyDescent="0.25">
      <c r="A46" s="65" t="s">
        <v>8</v>
      </c>
    </row>
    <row r="47" spans="1:9" ht="30.75" customHeight="1" x14ac:dyDescent="0.25">
      <c r="A47" s="996" t="s">
        <v>824</v>
      </c>
      <c r="B47" s="996"/>
      <c r="C47" s="996"/>
      <c r="D47" s="996"/>
      <c r="E47" s="996"/>
      <c r="F47" s="996"/>
      <c r="G47" s="996"/>
      <c r="H47" s="996"/>
      <c r="I47" s="996"/>
    </row>
  </sheetData>
  <sheetProtection algorithmName="SHA-512" hashValue="/j0jlgKifUFGQjFhmkFR7YaQJHf8+s1as7/fY7/sNB4F198QyoAGad5pjDd3t4MRfyaweys7WkvzyS82RBZGJw==" saltValue="uiOC46KSLfIqDzHkCi9O8Q==" spinCount="100000" sheet="1" objects="1" scenarios="1"/>
  <mergeCells count="3">
    <mergeCell ref="A47:I47"/>
    <mergeCell ref="A1:C1"/>
    <mergeCell ref="A4:F4"/>
  </mergeCells>
  <hyperlinks>
    <hyperlink ref="A2" location="'Table of Contents'!A1" display="Back to Table of Contents"/>
  </hyperlinks>
  <pageMargins left="0.70866141732283472" right="0.70866141732283472" top="0.74803149606299213" bottom="0.74803149606299213" header="0.31496062992125984" footer="0.31496062992125984"/>
  <pageSetup scale="71"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9" tint="0.39997558519241921"/>
  </sheetPr>
  <dimension ref="A1:Z67"/>
  <sheetViews>
    <sheetView showGridLines="0" workbookViewId="0">
      <pane ySplit="2" topLeftCell="A3" activePane="bottomLeft" state="frozen"/>
      <selection sqref="A1:C1"/>
      <selection pane="bottomLeft" sqref="A1:C1"/>
    </sheetView>
  </sheetViews>
  <sheetFormatPr defaultRowHeight="15" x14ac:dyDescent="0.25"/>
  <cols>
    <col min="1" max="1" width="31" bestFit="1" customWidth="1"/>
    <col min="2" max="9" width="12.5703125" customWidth="1"/>
    <col min="10" max="10" width="14.5703125" bestFit="1" customWidth="1"/>
    <col min="11" max="11" width="12.42578125" bestFit="1" customWidth="1"/>
  </cols>
  <sheetData>
    <row r="1" spans="1:8" ht="15.75" x14ac:dyDescent="0.25">
      <c r="A1" s="993" t="s">
        <v>523</v>
      </c>
      <c r="B1" s="993"/>
      <c r="C1" s="993"/>
    </row>
    <row r="2" spans="1:8" x14ac:dyDescent="0.25">
      <c r="A2" s="790" t="s">
        <v>598</v>
      </c>
    </row>
    <row r="3" spans="1:8" x14ac:dyDescent="0.25">
      <c r="A3" s="31"/>
      <c r="B3" s="31"/>
      <c r="C3" s="31"/>
      <c r="D3" s="31"/>
      <c r="E3" s="31"/>
      <c r="F3" s="31"/>
      <c r="G3" s="31"/>
      <c r="H3" s="31"/>
    </row>
    <row r="4" spans="1:8" ht="15.75" x14ac:dyDescent="0.25">
      <c r="A4" s="998" t="s">
        <v>573</v>
      </c>
      <c r="B4" s="998"/>
      <c r="C4" s="998"/>
      <c r="D4" s="998"/>
      <c r="E4" s="998"/>
      <c r="F4" s="998"/>
      <c r="G4" s="998"/>
      <c r="H4" s="998"/>
    </row>
    <row r="5" spans="1:8" ht="15.75" x14ac:dyDescent="0.25">
      <c r="A5" t="s">
        <v>530</v>
      </c>
      <c r="B5" s="642"/>
      <c r="C5" s="642"/>
      <c r="D5" s="642"/>
      <c r="E5" s="642"/>
      <c r="F5" s="642"/>
      <c r="G5" s="642"/>
      <c r="H5" s="642"/>
    </row>
    <row r="6" spans="1:8" ht="15.75" x14ac:dyDescent="0.25">
      <c r="A6" t="s">
        <v>368</v>
      </c>
      <c r="B6" t="s">
        <v>794</v>
      </c>
      <c r="C6" s="642"/>
      <c r="D6" s="642"/>
      <c r="E6" s="642"/>
      <c r="F6" s="642"/>
      <c r="G6" s="642"/>
      <c r="H6" s="642"/>
    </row>
    <row r="7" spans="1:8" ht="15.75" x14ac:dyDescent="0.25">
      <c r="A7" t="s">
        <v>369</v>
      </c>
      <c r="B7" t="s">
        <v>371</v>
      </c>
      <c r="C7" s="642"/>
      <c r="D7" s="642"/>
      <c r="E7" s="642"/>
      <c r="F7" s="642"/>
      <c r="G7" s="642"/>
      <c r="H7" s="642"/>
    </row>
    <row r="8" spans="1:8" x14ac:dyDescent="0.25">
      <c r="A8" t="s">
        <v>370</v>
      </c>
      <c r="B8" t="s">
        <v>372</v>
      </c>
    </row>
    <row r="10" spans="1:8" s="697" customFormat="1" ht="30" customHeight="1" x14ac:dyDescent="0.25">
      <c r="A10" s="786" t="s">
        <v>214</v>
      </c>
      <c r="B10" s="807" t="s">
        <v>27</v>
      </c>
      <c r="C10" s="807" t="s">
        <v>28</v>
      </c>
      <c r="D10" s="807" t="str">
        <f>Tentrant!C4</f>
        <v>Control</v>
      </c>
      <c r="E10" s="807" t="str">
        <f>Tentrant!E4</f>
        <v>Support</v>
      </c>
      <c r="F10" s="807" t="s">
        <v>568</v>
      </c>
      <c r="G10" s="807" t="s">
        <v>10</v>
      </c>
    </row>
    <row r="11" spans="1:8" x14ac:dyDescent="0.25">
      <c r="A11" s="438" t="str">
        <f>Tentrant!A15</f>
        <v>Under 20</v>
      </c>
      <c r="B11">
        <f>Tentrant!G15</f>
        <v>0</v>
      </c>
      <c r="C11">
        <f>Tentrant!D15</f>
        <v>4</v>
      </c>
      <c r="D11">
        <f>Tentrant!C15</f>
        <v>0</v>
      </c>
      <c r="E11">
        <f>Tentrant!E15</f>
        <v>2</v>
      </c>
      <c r="F11">
        <f>Tentrant!F15</f>
        <v>0</v>
      </c>
      <c r="G11" s="438">
        <f>Tentrant!B15</f>
        <v>6</v>
      </c>
    </row>
    <row r="12" spans="1:8" x14ac:dyDescent="0.25">
      <c r="A12" s="438" t="str">
        <f>Tentrant!A5</f>
        <v>20-24</v>
      </c>
      <c r="B12">
        <f>Tentrant!G5</f>
        <v>26</v>
      </c>
      <c r="C12">
        <f>Tentrant!D5</f>
        <v>56</v>
      </c>
      <c r="D12">
        <f>Tentrant!C5</f>
        <v>8</v>
      </c>
      <c r="E12">
        <f>Tentrant!E5</f>
        <v>11</v>
      </c>
      <c r="F12">
        <f>Tentrant!F5</f>
        <v>4</v>
      </c>
      <c r="G12" s="438">
        <f>Tentrant!B5</f>
        <v>105</v>
      </c>
    </row>
    <row r="13" spans="1:8" x14ac:dyDescent="0.25">
      <c r="A13" s="438" t="str">
        <f>Tentrant!A6</f>
        <v>25-29</v>
      </c>
      <c r="B13">
        <f>Tentrant!G6</f>
        <v>61</v>
      </c>
      <c r="C13">
        <f>Tentrant!D6</f>
        <v>50</v>
      </c>
      <c r="D13">
        <f>Tentrant!C6</f>
        <v>9</v>
      </c>
      <c r="E13">
        <f>Tentrant!E6</f>
        <v>12</v>
      </c>
      <c r="F13">
        <f>Tentrant!F6</f>
        <v>5</v>
      </c>
      <c r="G13" s="438">
        <f>Tentrant!B6</f>
        <v>137</v>
      </c>
    </row>
    <row r="14" spans="1:8" x14ac:dyDescent="0.25">
      <c r="A14" s="438" t="str">
        <f>Tentrant!A7</f>
        <v>30-34</v>
      </c>
      <c r="B14">
        <f>Tentrant!G7</f>
        <v>61</v>
      </c>
      <c r="C14">
        <f>Tentrant!D7</f>
        <v>50</v>
      </c>
      <c r="D14">
        <f>Tentrant!C7</f>
        <v>7</v>
      </c>
      <c r="E14">
        <f>Tentrant!E7</f>
        <v>8</v>
      </c>
      <c r="F14">
        <f>Tentrant!F7</f>
        <v>3</v>
      </c>
      <c r="G14" s="438">
        <f>Tentrant!B7</f>
        <v>129</v>
      </c>
    </row>
    <row r="15" spans="1:8" x14ac:dyDescent="0.25">
      <c r="A15" s="438" t="str">
        <f>Tentrant!A8</f>
        <v>35-39</v>
      </c>
      <c r="B15">
        <f>Tentrant!G8</f>
        <v>25</v>
      </c>
      <c r="C15">
        <f>Tentrant!D8</f>
        <v>30</v>
      </c>
      <c r="D15">
        <f>Tentrant!C8</f>
        <v>5</v>
      </c>
      <c r="E15">
        <f>Tentrant!E8</f>
        <v>7</v>
      </c>
      <c r="F15">
        <f>Tentrant!F8</f>
        <v>3</v>
      </c>
      <c r="G15" s="438">
        <f>Tentrant!B8</f>
        <v>70</v>
      </c>
    </row>
    <row r="16" spans="1:8" x14ac:dyDescent="0.25">
      <c r="A16" s="438" t="str">
        <f>Tentrant!A9</f>
        <v>40-44</v>
      </c>
      <c r="B16">
        <f>Tentrant!G9</f>
        <v>13</v>
      </c>
      <c r="C16">
        <f>Tentrant!D9</f>
        <v>28</v>
      </c>
      <c r="D16">
        <f>Tentrant!C9</f>
        <v>0</v>
      </c>
      <c r="E16">
        <f>Tentrant!E9</f>
        <v>12</v>
      </c>
      <c r="F16">
        <f>Tentrant!F9</f>
        <v>2</v>
      </c>
      <c r="G16" s="438">
        <f>Tentrant!B9</f>
        <v>55</v>
      </c>
    </row>
    <row r="17" spans="1:8" x14ac:dyDescent="0.25">
      <c r="A17" s="438" t="str">
        <f>Tentrant!A10</f>
        <v>45-49</v>
      </c>
      <c r="B17">
        <f>Tentrant!G10</f>
        <v>7</v>
      </c>
      <c r="C17">
        <f>Tentrant!D10</f>
        <v>16</v>
      </c>
      <c r="D17">
        <f>Tentrant!C10</f>
        <v>0</v>
      </c>
      <c r="E17">
        <f>Tentrant!E10</f>
        <v>13</v>
      </c>
      <c r="F17">
        <f>Tentrant!F10</f>
        <v>3</v>
      </c>
      <c r="G17" s="438">
        <f>Tentrant!B10</f>
        <v>39</v>
      </c>
    </row>
    <row r="18" spans="1:8" x14ac:dyDescent="0.25">
      <c r="A18" s="438" t="str">
        <f>Tentrant!A11</f>
        <v>50-54</v>
      </c>
      <c r="B18">
        <f>Tentrant!G11</f>
        <v>1</v>
      </c>
      <c r="C18">
        <f>Tentrant!D11</f>
        <v>11</v>
      </c>
      <c r="D18">
        <f>Tentrant!C11</f>
        <v>0</v>
      </c>
      <c r="E18">
        <f>Tentrant!E11</f>
        <v>9</v>
      </c>
      <c r="F18">
        <f>Tentrant!F11</f>
        <v>3</v>
      </c>
      <c r="G18" s="438">
        <f>Tentrant!B11</f>
        <v>24</v>
      </c>
    </row>
    <row r="19" spans="1:8" x14ac:dyDescent="0.25">
      <c r="A19" s="438" t="str">
        <f>Tentrant!A12</f>
        <v>55-59</v>
      </c>
      <c r="B19">
        <f>Tentrant!G12</f>
        <v>0</v>
      </c>
      <c r="C19">
        <f>Tentrant!D12</f>
        <v>2</v>
      </c>
      <c r="D19">
        <f>Tentrant!C12</f>
        <v>0</v>
      </c>
      <c r="E19">
        <f>Tentrant!E12</f>
        <v>11</v>
      </c>
      <c r="F19">
        <f>Tentrant!F12</f>
        <v>0</v>
      </c>
      <c r="G19" s="438">
        <f>Tentrant!B12</f>
        <v>13</v>
      </c>
    </row>
    <row r="20" spans="1:8" x14ac:dyDescent="0.25">
      <c r="A20" s="438" t="str">
        <f>Tentrant!A13</f>
        <v>60-64</v>
      </c>
      <c r="B20">
        <f>Tentrant!G13</f>
        <v>0</v>
      </c>
      <c r="C20">
        <f>Tentrant!D13</f>
        <v>0</v>
      </c>
      <c r="D20">
        <f>Tentrant!C13</f>
        <v>0</v>
      </c>
      <c r="E20">
        <f>Tentrant!E13</f>
        <v>6</v>
      </c>
      <c r="F20">
        <f>Tentrant!F13</f>
        <v>0</v>
      </c>
      <c r="G20" s="438">
        <f>Tentrant!B13</f>
        <v>6</v>
      </c>
    </row>
    <row r="21" spans="1:8" x14ac:dyDescent="0.25">
      <c r="A21" s="438" t="str">
        <f>Tentrant!A14</f>
        <v>65-69</v>
      </c>
      <c r="B21">
        <f>Tentrant!G14</f>
        <v>0</v>
      </c>
      <c r="C21">
        <f>Tentrant!D14</f>
        <v>0</v>
      </c>
      <c r="D21">
        <f>Tentrant!C14</f>
        <v>0</v>
      </c>
      <c r="E21">
        <f>Tentrant!E14</f>
        <v>1</v>
      </c>
      <c r="F21">
        <f>Tentrant!F14</f>
        <v>1</v>
      </c>
      <c r="G21" s="438">
        <f>Tentrant!B14</f>
        <v>2</v>
      </c>
    </row>
    <row r="22" spans="1:8" ht="15.75" thickBot="1" x14ac:dyDescent="0.3">
      <c r="A22" s="775" t="s">
        <v>415</v>
      </c>
      <c r="B22" s="775">
        <f t="shared" ref="B22:G22" si="0">SUM(B11:B21)</f>
        <v>194</v>
      </c>
      <c r="C22" s="775">
        <f t="shared" si="0"/>
        <v>247</v>
      </c>
      <c r="D22" s="775">
        <f t="shared" si="0"/>
        <v>29</v>
      </c>
      <c r="E22" s="775">
        <f>SUM(E11:E21)</f>
        <v>92</v>
      </c>
      <c r="F22" s="775">
        <f>SUM(F11:F21)</f>
        <v>24</v>
      </c>
      <c r="G22" s="775">
        <f t="shared" si="0"/>
        <v>586</v>
      </c>
    </row>
    <row r="23" spans="1:8" x14ac:dyDescent="0.25">
      <c r="A23" s="776"/>
      <c r="B23" s="776"/>
      <c r="C23" s="776"/>
      <c r="D23" s="776"/>
      <c r="E23" s="776"/>
      <c r="F23" s="776"/>
      <c r="G23" s="776"/>
    </row>
    <row r="24" spans="1:8" x14ac:dyDescent="0.25">
      <c r="A24" s="494" t="s">
        <v>8</v>
      </c>
      <c r="B24" s="776"/>
      <c r="C24" s="776"/>
      <c r="D24" s="776"/>
      <c r="E24" s="776"/>
      <c r="F24" s="776"/>
      <c r="G24" s="776"/>
    </row>
    <row r="25" spans="1:8" ht="44.25" customHeight="1" x14ac:dyDescent="0.25">
      <c r="A25" s="1022" t="s">
        <v>843</v>
      </c>
      <c r="B25" s="1022"/>
      <c r="C25" s="1022"/>
      <c r="D25" s="1022"/>
      <c r="E25" s="1022"/>
      <c r="F25" s="1022"/>
      <c r="G25" s="1022"/>
      <c r="H25" s="1022"/>
    </row>
    <row r="27" spans="1:8" ht="15.75" customHeight="1" x14ac:dyDescent="0.25">
      <c r="A27" s="998" t="s">
        <v>574</v>
      </c>
      <c r="B27" s="998"/>
      <c r="C27" s="998"/>
      <c r="D27" s="998"/>
      <c r="E27" s="998"/>
      <c r="F27" s="998"/>
      <c r="G27" s="998"/>
      <c r="H27" s="998"/>
    </row>
    <row r="28" spans="1:8" ht="15.75" x14ac:dyDescent="0.25">
      <c r="A28" t="s">
        <v>530</v>
      </c>
      <c r="B28" s="642"/>
      <c r="C28" s="642"/>
      <c r="D28" s="642"/>
      <c r="E28" s="642"/>
      <c r="F28" s="642"/>
      <c r="G28" s="642"/>
      <c r="H28" s="642"/>
    </row>
    <row r="29" spans="1:8" ht="15.75" x14ac:dyDescent="0.25">
      <c r="A29" t="s">
        <v>368</v>
      </c>
      <c r="B29" t="s">
        <v>795</v>
      </c>
      <c r="C29" s="642"/>
      <c r="D29" s="642"/>
      <c r="E29" s="642"/>
      <c r="F29" s="642"/>
      <c r="G29" s="642"/>
      <c r="H29" s="642"/>
    </row>
    <row r="30" spans="1:8" ht="15.75" x14ac:dyDescent="0.25">
      <c r="A30" t="s">
        <v>369</v>
      </c>
      <c r="B30" t="s">
        <v>371</v>
      </c>
      <c r="C30" s="642"/>
      <c r="D30" s="642"/>
      <c r="E30" s="642"/>
      <c r="F30" s="642"/>
      <c r="G30" s="642"/>
      <c r="H30" s="642"/>
    </row>
    <row r="31" spans="1:8" x14ac:dyDescent="0.25">
      <c r="A31" t="s">
        <v>370</v>
      </c>
      <c r="B31" t="s">
        <v>372</v>
      </c>
    </row>
    <row r="32" spans="1:8" x14ac:dyDescent="0.25">
      <c r="B32" s="808"/>
      <c r="C32" s="808"/>
      <c r="D32" s="808"/>
      <c r="E32" s="808"/>
      <c r="F32" s="808"/>
      <c r="G32" s="808"/>
    </row>
    <row r="33" spans="1:8" s="697" customFormat="1" ht="30" customHeight="1" x14ac:dyDescent="0.25">
      <c r="A33" s="786" t="str">
        <f>Tentrant!A25</f>
        <v>Gender</v>
      </c>
      <c r="B33" s="807" t="s">
        <v>27</v>
      </c>
      <c r="C33" s="807" t="s">
        <v>28</v>
      </c>
      <c r="D33" s="807" t="s">
        <v>2</v>
      </c>
      <c r="E33" s="807" t="s">
        <v>3</v>
      </c>
      <c r="F33" s="807" t="s">
        <v>568</v>
      </c>
      <c r="G33" s="807" t="s">
        <v>10</v>
      </c>
    </row>
    <row r="34" spans="1:8" x14ac:dyDescent="0.25">
      <c r="A34" s="438" t="str">
        <f>Tentrant!A26</f>
        <v>Female</v>
      </c>
      <c r="B34">
        <f>Tentrant!G26</f>
        <v>14</v>
      </c>
      <c r="C34">
        <f>Tentrant!D26</f>
        <v>38</v>
      </c>
      <c r="D34">
        <f>Tentrant!C26</f>
        <v>24</v>
      </c>
      <c r="E34">
        <f>Tentrant!E26</f>
        <v>38</v>
      </c>
      <c r="F34">
        <f>Tentrant!F26</f>
        <v>8</v>
      </c>
      <c r="G34">
        <f>Tentrant!B26</f>
        <v>122</v>
      </c>
    </row>
    <row r="35" spans="1:8" x14ac:dyDescent="0.25">
      <c r="A35" s="438" t="str">
        <f>Tentrant!A27</f>
        <v>Male</v>
      </c>
      <c r="B35">
        <f>Tentrant!G27</f>
        <v>180</v>
      </c>
      <c r="C35">
        <f>Tentrant!D27</f>
        <v>209</v>
      </c>
      <c r="D35">
        <f>Tentrant!C27</f>
        <v>5</v>
      </c>
      <c r="E35">
        <f>Tentrant!E27</f>
        <v>54</v>
      </c>
      <c r="F35">
        <f>Tentrant!F27</f>
        <v>16</v>
      </c>
      <c r="G35">
        <f>Tentrant!B27</f>
        <v>464</v>
      </c>
    </row>
    <row r="36" spans="1:8" ht="15.75" thickBot="1" x14ac:dyDescent="0.3">
      <c r="A36" s="775" t="s">
        <v>415</v>
      </c>
      <c r="B36" s="775">
        <f t="shared" ref="B36:G36" si="1">SUM(B34:B35)</f>
        <v>194</v>
      </c>
      <c r="C36" s="775">
        <f t="shared" si="1"/>
        <v>247</v>
      </c>
      <c r="D36" s="775">
        <f t="shared" si="1"/>
        <v>29</v>
      </c>
      <c r="E36" s="775">
        <f>SUM(E34:E35)</f>
        <v>92</v>
      </c>
      <c r="F36" s="775">
        <f>SUM(F34:F35)</f>
        <v>24</v>
      </c>
      <c r="G36" s="775">
        <f t="shared" si="1"/>
        <v>586</v>
      </c>
    </row>
    <row r="37" spans="1:8" x14ac:dyDescent="0.25">
      <c r="A37" s="776"/>
      <c r="B37" s="776"/>
      <c r="C37" s="776"/>
      <c r="D37" s="776"/>
      <c r="E37" s="776"/>
      <c r="F37" s="776"/>
      <c r="G37" s="776"/>
    </row>
    <row r="38" spans="1:8" x14ac:dyDescent="0.25">
      <c r="A38" s="494" t="s">
        <v>8</v>
      </c>
      <c r="B38" s="776"/>
      <c r="C38" s="776"/>
      <c r="D38" s="776"/>
      <c r="E38" s="776"/>
      <c r="F38" s="776"/>
      <c r="G38" s="776"/>
    </row>
    <row r="39" spans="1:8" ht="45" customHeight="1" x14ac:dyDescent="0.25">
      <c r="A39" s="1022" t="s">
        <v>843</v>
      </c>
      <c r="B39" s="1022"/>
      <c r="C39" s="1022"/>
      <c r="D39" s="1022"/>
      <c r="E39" s="1022"/>
      <c r="F39" s="1022"/>
      <c r="G39" s="1022"/>
      <c r="H39" s="1022"/>
    </row>
    <row r="40" spans="1:8" x14ac:dyDescent="0.25">
      <c r="A40" s="494"/>
    </row>
    <row r="41" spans="1:8" ht="15.75" x14ac:dyDescent="0.25">
      <c r="A41" s="998" t="s">
        <v>575</v>
      </c>
      <c r="B41" s="998"/>
      <c r="C41" s="998"/>
      <c r="D41" s="998"/>
      <c r="E41" s="998"/>
      <c r="F41" s="998"/>
      <c r="G41" s="998"/>
      <c r="H41" s="998"/>
    </row>
    <row r="42" spans="1:8" ht="15.75" x14ac:dyDescent="0.25">
      <c r="A42" t="s">
        <v>530</v>
      </c>
      <c r="B42" s="642"/>
      <c r="C42" s="642"/>
      <c r="D42" s="642"/>
      <c r="E42" s="642"/>
      <c r="F42" s="642"/>
      <c r="G42" s="642"/>
      <c r="H42" s="642"/>
    </row>
    <row r="43" spans="1:8" ht="15.75" x14ac:dyDescent="0.25">
      <c r="A43" t="s">
        <v>368</v>
      </c>
      <c r="B43" t="s">
        <v>796</v>
      </c>
      <c r="C43" s="642"/>
      <c r="D43" s="642"/>
      <c r="E43" s="642"/>
      <c r="F43" s="642"/>
      <c r="G43" s="642"/>
      <c r="H43" s="642"/>
    </row>
    <row r="44" spans="1:8" ht="15.75" x14ac:dyDescent="0.25">
      <c r="A44" t="s">
        <v>369</v>
      </c>
      <c r="B44" t="s">
        <v>371</v>
      </c>
      <c r="C44" s="642"/>
      <c r="D44" s="642"/>
      <c r="E44" s="642"/>
      <c r="F44" s="642"/>
      <c r="G44" s="642"/>
      <c r="H44" t="s">
        <v>258</v>
      </c>
    </row>
    <row r="45" spans="1:8" ht="15.75" customHeight="1" x14ac:dyDescent="0.25">
      <c r="A45" t="s">
        <v>370</v>
      </c>
      <c r="B45" t="s">
        <v>372</v>
      </c>
      <c r="H45" s="787" t="s">
        <v>7</v>
      </c>
    </row>
    <row r="46" spans="1:8" ht="45" customHeight="1" x14ac:dyDescent="0.25">
      <c r="A46" s="182" t="s">
        <v>572</v>
      </c>
      <c r="B46" s="809" t="s">
        <v>27</v>
      </c>
      <c r="C46" s="809" t="s">
        <v>28</v>
      </c>
      <c r="D46" s="809" t="s">
        <v>2</v>
      </c>
      <c r="E46" s="809" t="s">
        <v>93</v>
      </c>
      <c r="F46" s="809" t="s">
        <v>29</v>
      </c>
      <c r="G46" s="639" t="s">
        <v>10</v>
      </c>
      <c r="H46" s="639" t="s">
        <v>571</v>
      </c>
    </row>
    <row r="47" spans="1:8" x14ac:dyDescent="0.25">
      <c r="A47" s="282" t="s">
        <v>121</v>
      </c>
      <c r="B47" s="434">
        <f>Tentrant!$C$57</f>
        <v>0</v>
      </c>
      <c r="C47" s="434">
        <f>Tentrant!$C$52</f>
        <v>1.6</v>
      </c>
      <c r="D47" s="434">
        <f>Tentrant!$C$51</f>
        <v>0</v>
      </c>
      <c r="E47" s="434">
        <f>Tentrant!$C$53</f>
        <v>2.2000000000000002</v>
      </c>
      <c r="F47" s="434">
        <f>Tentrant!$C$56</f>
        <v>0</v>
      </c>
      <c r="G47" s="436">
        <f>Tentrant!$C$54</f>
        <v>1</v>
      </c>
      <c r="H47" s="436">
        <f>Tentrant!$C$55</f>
        <v>1.1000000000000001</v>
      </c>
    </row>
    <row r="48" spans="1:8" x14ac:dyDescent="0.25">
      <c r="A48" s="224" t="s">
        <v>120</v>
      </c>
      <c r="B48" s="226">
        <f>Tentrant!$E$57</f>
        <v>40.700000000000003</v>
      </c>
      <c r="C48" s="226">
        <f>Tentrant!$E$52</f>
        <v>53.8</v>
      </c>
      <c r="D48" s="226">
        <f>Tentrant!$E$51</f>
        <v>37.9</v>
      </c>
      <c r="E48" s="226">
        <f>Tentrant!$E$53</f>
        <v>54.3</v>
      </c>
      <c r="F48" s="226">
        <f>Tentrant!$E$56</f>
        <v>0</v>
      </c>
      <c r="G48" s="228">
        <f>Tentrant!$E$54</f>
        <v>46.6</v>
      </c>
      <c r="H48" s="228">
        <f>Tentrant!$E$55</f>
        <v>48.6</v>
      </c>
    </row>
    <row r="49" spans="1:26" x14ac:dyDescent="0.25">
      <c r="A49" s="588" t="s">
        <v>392</v>
      </c>
      <c r="B49" s="789">
        <f>Tentrant!$D$57</f>
        <v>59.3</v>
      </c>
      <c r="C49" s="789">
        <f>Tentrant!$D$52</f>
        <v>44.5</v>
      </c>
      <c r="D49" s="789">
        <f>Tentrant!$D$51</f>
        <v>62.1</v>
      </c>
      <c r="E49" s="789">
        <f>Tentrant!$D$53</f>
        <v>43.5</v>
      </c>
      <c r="F49" s="789">
        <f>Tentrant!$D$56</f>
        <v>100</v>
      </c>
      <c r="G49" s="762">
        <f>Tentrant!$D$54</f>
        <v>52.4</v>
      </c>
      <c r="H49" s="762">
        <f>Tentrant!$D$55</f>
        <v>50.4</v>
      </c>
    </row>
    <row r="51" spans="1:26" x14ac:dyDescent="0.25">
      <c r="A51" s="494" t="s">
        <v>8</v>
      </c>
      <c r="B51" s="31"/>
      <c r="C51" s="31"/>
      <c r="D51" s="31"/>
      <c r="E51" s="31"/>
      <c r="F51" s="31"/>
      <c r="G51" s="31"/>
      <c r="H51" s="31"/>
    </row>
    <row r="52" spans="1:26" ht="15" customHeight="1" x14ac:dyDescent="0.25">
      <c r="A52" s="1020" t="s">
        <v>578</v>
      </c>
      <c r="B52" s="1020"/>
      <c r="C52" s="1020"/>
      <c r="D52" s="1020"/>
      <c r="E52" s="1020"/>
      <c r="F52" s="1020"/>
      <c r="G52" s="1020"/>
      <c r="H52" s="1020"/>
    </row>
    <row r="53" spans="1:26" ht="30" customHeight="1" x14ac:dyDescent="0.25">
      <c r="A53" s="1020" t="s">
        <v>844</v>
      </c>
      <c r="B53" s="1020"/>
      <c r="C53" s="1020"/>
      <c r="D53" s="1020"/>
      <c r="E53" s="1020"/>
      <c r="F53" s="1020"/>
      <c r="G53" s="1020"/>
      <c r="H53" s="1020"/>
    </row>
    <row r="54" spans="1:26" ht="15" customHeight="1" x14ac:dyDescent="0.25">
      <c r="A54" s="641"/>
      <c r="B54" s="641"/>
      <c r="C54" s="641"/>
      <c r="D54" s="641"/>
      <c r="E54" s="641"/>
      <c r="F54" s="641"/>
      <c r="G54" s="641"/>
      <c r="H54" s="641"/>
    </row>
    <row r="55" spans="1:26" ht="15.75" x14ac:dyDescent="0.25">
      <c r="A55" s="998" t="s">
        <v>576</v>
      </c>
      <c r="B55" s="998"/>
      <c r="C55" s="998"/>
      <c r="D55" s="998"/>
      <c r="E55" s="998"/>
      <c r="F55" s="998"/>
      <c r="G55" s="998"/>
      <c r="H55" s="998"/>
    </row>
    <row r="56" spans="1:26" ht="15.75" x14ac:dyDescent="0.25">
      <c r="A56" t="s">
        <v>530</v>
      </c>
      <c r="B56" s="642"/>
      <c r="C56" s="642"/>
      <c r="D56" s="642"/>
      <c r="E56" s="642"/>
      <c r="F56" s="642"/>
      <c r="G56" s="642"/>
      <c r="H56" s="642"/>
    </row>
    <row r="57" spans="1:26" ht="15.75" x14ac:dyDescent="0.25">
      <c r="A57" t="s">
        <v>368</v>
      </c>
      <c r="B57" t="s">
        <v>797</v>
      </c>
      <c r="C57" s="642"/>
      <c r="D57" s="642"/>
      <c r="F57" s="642"/>
      <c r="G57" s="642"/>
      <c r="H57" s="642"/>
    </row>
    <row r="58" spans="1:26" ht="15.75" x14ac:dyDescent="0.25">
      <c r="A58" t="s">
        <v>369</v>
      </c>
      <c r="B58" t="s">
        <v>371</v>
      </c>
      <c r="C58" s="642"/>
      <c r="D58" s="642"/>
      <c r="E58" s="642"/>
      <c r="F58" s="642"/>
      <c r="G58" s="642"/>
      <c r="H58" t="s">
        <v>258</v>
      </c>
    </row>
    <row r="59" spans="1:26" x14ac:dyDescent="0.25">
      <c r="A59" t="s">
        <v>370</v>
      </c>
      <c r="B59" t="s">
        <v>372</v>
      </c>
      <c r="H59" s="787" t="s">
        <v>7</v>
      </c>
    </row>
    <row r="60" spans="1:26" ht="45" customHeight="1" x14ac:dyDescent="0.25">
      <c r="A60" s="182" t="s">
        <v>258</v>
      </c>
      <c r="B60" s="809" t="s">
        <v>27</v>
      </c>
      <c r="C60" s="809" t="s">
        <v>28</v>
      </c>
      <c r="D60" s="809" t="s">
        <v>2</v>
      </c>
      <c r="E60" s="809" t="s">
        <v>93</v>
      </c>
      <c r="F60" s="809" t="s">
        <v>29</v>
      </c>
      <c r="G60" s="639" t="s">
        <v>10</v>
      </c>
      <c r="H60" s="639" t="s">
        <v>571</v>
      </c>
    </row>
    <row r="61" spans="1:26" x14ac:dyDescent="0.25">
      <c r="A61" s="282" t="str">
        <f>Tentrant!C76</f>
        <v>Disabled</v>
      </c>
      <c r="B61" s="436">
        <f>Tentrant!J76</f>
        <v>3.6</v>
      </c>
      <c r="C61" s="434">
        <f>Tentrant!G76</f>
        <v>1.2</v>
      </c>
      <c r="D61" s="434">
        <f>Tentrant!F76</f>
        <v>0</v>
      </c>
      <c r="E61" s="434">
        <f>Tentrant!H76</f>
        <v>2.2000000000000002</v>
      </c>
      <c r="F61" s="434">
        <f>Tentrant!I76</f>
        <v>0</v>
      </c>
      <c r="G61" s="436">
        <f>Tentrant!D76</f>
        <v>2</v>
      </c>
      <c r="H61" s="436">
        <f>Tentrant!E76</f>
        <v>2.1</v>
      </c>
    </row>
    <row r="62" spans="1:26" x14ac:dyDescent="0.25">
      <c r="A62" s="224" t="str">
        <f>Tentrant!C77</f>
        <v>Not Disabled</v>
      </c>
      <c r="B62" s="228">
        <f>Tentrant!J77</f>
        <v>38.1</v>
      </c>
      <c r="C62" s="226">
        <f>Tentrant!G77</f>
        <v>54.3</v>
      </c>
      <c r="D62" s="226">
        <f>Tentrant!F77</f>
        <v>34.5</v>
      </c>
      <c r="E62" s="226">
        <f>Tentrant!H77</f>
        <v>48.9</v>
      </c>
      <c r="F62" s="226">
        <f>Tentrant!I77</f>
        <v>0</v>
      </c>
      <c r="G62" s="228">
        <f>Tentrant!D77</f>
        <v>44.9</v>
      </c>
      <c r="H62" s="228">
        <f>Tentrant!E77</f>
        <v>46.8</v>
      </c>
    </row>
    <row r="63" spans="1:26" x14ac:dyDescent="0.25">
      <c r="A63" s="588" t="str">
        <f>Tentrant!C78</f>
        <v>Not Known</v>
      </c>
      <c r="B63" s="762">
        <f>Tentrant!J78</f>
        <v>58.2</v>
      </c>
      <c r="C63" s="789">
        <f>Tentrant!G78</f>
        <v>44.5</v>
      </c>
      <c r="D63" s="789">
        <f>Tentrant!F78</f>
        <v>65.5</v>
      </c>
      <c r="E63" s="789">
        <f>Tentrant!H78</f>
        <v>48.9</v>
      </c>
      <c r="F63" s="789">
        <f>Tentrant!I78</f>
        <v>100</v>
      </c>
      <c r="G63" s="762">
        <f>Tentrant!D78</f>
        <v>53.1</v>
      </c>
      <c r="H63" s="762">
        <f>Tentrant!E78</f>
        <v>51.1</v>
      </c>
      <c r="Z63" t="s">
        <v>511</v>
      </c>
    </row>
    <row r="65" spans="1:8" x14ac:dyDescent="0.25">
      <c r="A65" s="494" t="s">
        <v>8</v>
      </c>
      <c r="B65" s="31"/>
      <c r="C65" s="31"/>
      <c r="D65" s="31"/>
      <c r="E65" s="31"/>
      <c r="F65" s="31"/>
      <c r="G65" s="31"/>
      <c r="H65" s="31"/>
    </row>
    <row r="66" spans="1:8" ht="15.75" customHeight="1" x14ac:dyDescent="0.25">
      <c r="A66" s="1020" t="s">
        <v>578</v>
      </c>
      <c r="B66" s="1020"/>
      <c r="C66" s="1020"/>
      <c r="D66" s="1020"/>
      <c r="E66" s="1020"/>
      <c r="F66" s="1020"/>
      <c r="G66" s="1020"/>
      <c r="H66" s="1020"/>
    </row>
    <row r="67" spans="1:8" ht="30.75" customHeight="1" x14ac:dyDescent="0.25">
      <c r="A67" s="1020" t="s">
        <v>844</v>
      </c>
      <c r="B67" s="1020"/>
      <c r="C67" s="1020"/>
      <c r="D67" s="1020"/>
      <c r="E67" s="1020"/>
      <c r="F67" s="1020"/>
      <c r="G67" s="1020"/>
      <c r="H67" s="1020"/>
    </row>
  </sheetData>
  <sheetProtection algorithmName="SHA-512" hashValue="uWH96ysImiXgLaSPZ2BjwvgH0xItdfK3sjtZdoYParfWd6DOwkMum9oIU24pDq0YPn+rEgUBoOvo/7fz9J8BxA==" saltValue="O50U5JaQNC2TG2zWRneVvA==" spinCount="100000" sheet="1" objects="1" scenarios="1"/>
  <mergeCells count="11">
    <mergeCell ref="A67:H67"/>
    <mergeCell ref="A55:H55"/>
    <mergeCell ref="A52:H52"/>
    <mergeCell ref="A66:H66"/>
    <mergeCell ref="A1:C1"/>
    <mergeCell ref="A4:H4"/>
    <mergeCell ref="A27:H27"/>
    <mergeCell ref="A41:H41"/>
    <mergeCell ref="A25:H25"/>
    <mergeCell ref="A39:H39"/>
    <mergeCell ref="A53:H53"/>
  </mergeCells>
  <hyperlinks>
    <hyperlink ref="A2" location="'Table of Contents'!A1" display="Back to Table of Contents"/>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tint="0.39997558519241921"/>
  </sheetPr>
  <dimension ref="A1:M31"/>
  <sheetViews>
    <sheetView showGridLines="0" workbookViewId="0">
      <pane ySplit="2" topLeftCell="A3" activePane="bottomLeft" state="frozen"/>
      <selection sqref="A1:C1"/>
      <selection pane="bottomLeft" sqref="A1:C1"/>
    </sheetView>
  </sheetViews>
  <sheetFormatPr defaultRowHeight="15" x14ac:dyDescent="0.25"/>
  <cols>
    <col min="1" max="1" width="35.85546875" customWidth="1"/>
    <col min="2" max="13" width="12.140625" customWidth="1"/>
  </cols>
  <sheetData>
    <row r="1" spans="1:13" ht="15.75" x14ac:dyDescent="0.25">
      <c r="A1" s="993" t="s">
        <v>523</v>
      </c>
      <c r="B1" s="993"/>
      <c r="C1" s="993"/>
    </row>
    <row r="2" spans="1:13" ht="15.75" x14ac:dyDescent="0.25">
      <c r="A2" s="790" t="s">
        <v>598</v>
      </c>
      <c r="B2" s="668"/>
      <c r="C2" s="668"/>
    </row>
    <row r="4" spans="1:13" ht="15.75" x14ac:dyDescent="0.25">
      <c r="A4" s="998" t="s">
        <v>577</v>
      </c>
      <c r="B4" s="998"/>
      <c r="C4" s="998"/>
      <c r="D4" s="998"/>
      <c r="E4" s="998"/>
      <c r="F4" s="998"/>
      <c r="G4" s="998"/>
      <c r="H4" s="998"/>
    </row>
    <row r="5" spans="1:13" ht="15.75" customHeight="1" x14ac:dyDescent="0.25">
      <c r="A5" t="s">
        <v>530</v>
      </c>
      <c r="B5" s="642"/>
      <c r="C5" s="642"/>
      <c r="D5" s="642"/>
      <c r="E5" s="642"/>
      <c r="F5" s="642"/>
      <c r="G5" s="642"/>
      <c r="H5" s="642"/>
    </row>
    <row r="6" spans="1:13" ht="15.75" x14ac:dyDescent="0.25">
      <c r="A6" t="s">
        <v>368</v>
      </c>
      <c r="B6" t="s">
        <v>798</v>
      </c>
      <c r="C6" s="642"/>
      <c r="D6" s="642"/>
      <c r="E6" s="642"/>
      <c r="F6" s="642"/>
      <c r="G6" s="642"/>
      <c r="H6" s="642"/>
    </row>
    <row r="7" spans="1:13" ht="15.75" x14ac:dyDescent="0.25">
      <c r="A7" t="s">
        <v>369</v>
      </c>
      <c r="B7" t="s">
        <v>371</v>
      </c>
      <c r="C7" s="642"/>
      <c r="D7" s="642"/>
      <c r="E7" s="642"/>
      <c r="F7" s="642"/>
      <c r="G7" s="642"/>
      <c r="H7" s="642"/>
    </row>
    <row r="8" spans="1:13" x14ac:dyDescent="0.25">
      <c r="A8" t="s">
        <v>370</v>
      </c>
      <c r="B8" t="s">
        <v>372</v>
      </c>
    </row>
    <row r="9" spans="1:13" ht="38.25" x14ac:dyDescent="0.25">
      <c r="M9" s="788" t="s">
        <v>569</v>
      </c>
    </row>
    <row r="10" spans="1:13" s="697" customFormat="1" ht="30" x14ac:dyDescent="0.25">
      <c r="A10" s="786" t="s">
        <v>570</v>
      </c>
      <c r="B10" s="807" t="s">
        <v>27</v>
      </c>
      <c r="C10" s="807" t="s">
        <v>28</v>
      </c>
      <c r="D10" s="807" t="s">
        <v>2</v>
      </c>
      <c r="E10" s="807" t="s">
        <v>3</v>
      </c>
      <c r="F10" s="807" t="s">
        <v>568</v>
      </c>
      <c r="G10" s="807" t="s">
        <v>10</v>
      </c>
      <c r="H10" s="807" t="s">
        <v>27</v>
      </c>
      <c r="I10" s="807" t="s">
        <v>28</v>
      </c>
      <c r="J10" s="807" t="s">
        <v>2</v>
      </c>
      <c r="K10" s="807" t="s">
        <v>3</v>
      </c>
      <c r="L10" s="807" t="s">
        <v>568</v>
      </c>
      <c r="M10" s="810" t="s">
        <v>10</v>
      </c>
    </row>
    <row r="11" spans="1:13" x14ac:dyDescent="0.25">
      <c r="A11" s="438" t="str">
        <f>Tleave!A5</f>
        <v>Dismissal</v>
      </c>
      <c r="B11">
        <f>Tleave!G5</f>
        <v>3</v>
      </c>
      <c r="C11">
        <f>Tleave!D5</f>
        <v>8</v>
      </c>
      <c r="D11">
        <f>Tleave!C5</f>
        <v>0</v>
      </c>
      <c r="E11">
        <f>Tleave!E5</f>
        <v>2</v>
      </c>
      <c r="F11">
        <f>Tleave!F5</f>
        <v>0</v>
      </c>
      <c r="G11" s="438">
        <f>Tleave!B5</f>
        <v>13</v>
      </c>
      <c r="H11" s="777">
        <f>(B11/((Staffing!$B$17+Staffing!$B$16)/2)*100)</f>
        <v>8.3530558262564392E-2</v>
      </c>
      <c r="I11" s="778">
        <f>(C11/((Staffing!$C$17+Staffing!$C$16)/2)*100)</f>
        <v>0.27510316368638238</v>
      </c>
      <c r="J11" s="778">
        <f>(D11/((Staffing!$D$17+Staffing!$D$16)/2)*100)</f>
        <v>0</v>
      </c>
      <c r="K11" s="778">
        <f>(E11/((Staffing!$E$17+Staffing!$E$16)/2)*100)</f>
        <v>0.24420024420024419</v>
      </c>
      <c r="L11" s="780">
        <f>(F11/((Staffing!$F$17+Staffing!$F$16)/2)*100)</f>
        <v>0</v>
      </c>
      <c r="M11" s="781">
        <f>G11/((Staffing!$G$17+Staffing!$G$16)/2)*100</f>
        <v>0.16579517918632827</v>
      </c>
    </row>
    <row r="12" spans="1:13" x14ac:dyDescent="0.25">
      <c r="A12" s="438" t="str">
        <f>Tleave!A6</f>
        <v>End of contract</v>
      </c>
      <c r="B12">
        <f>Tleave!G6</f>
        <v>0</v>
      </c>
      <c r="C12">
        <f>Tleave!D6</f>
        <v>0</v>
      </c>
      <c r="D12">
        <f>Tleave!C6</f>
        <v>0</v>
      </c>
      <c r="E12">
        <f>Tleave!E6</f>
        <v>4</v>
      </c>
      <c r="F12">
        <f>Tleave!F6</f>
        <v>0</v>
      </c>
      <c r="G12" s="438">
        <f>Tleave!B6</f>
        <v>4</v>
      </c>
      <c r="H12" s="779">
        <f>(B12/((Staffing!$B$17+Staffing!$B$16)/2)*100)</f>
        <v>0</v>
      </c>
      <c r="I12" s="780">
        <f>(C12/((Staffing!$C$17+Staffing!$C$16)/2)*100)</f>
        <v>0</v>
      </c>
      <c r="J12" s="780">
        <f>(D12/((Staffing!$D$17+Staffing!$D$16)/2)*100)</f>
        <v>0</v>
      </c>
      <c r="K12" s="780">
        <f>(E12/((Staffing!$E$17+Staffing!$E$16)/2)*100)</f>
        <v>0.48840048840048839</v>
      </c>
      <c r="L12" s="780">
        <f>(F12/((Staffing!$F$17+Staffing!$F$16)/2)*100)</f>
        <v>0</v>
      </c>
      <c r="M12" s="781">
        <f>G12/((Staffing!$G$17+Staffing!$G$16)/2)*100</f>
        <v>5.1013901288101009E-2</v>
      </c>
    </row>
    <row r="13" spans="1:13" x14ac:dyDescent="0.25">
      <c r="A13" s="438" t="str">
        <f>Tleave!A7</f>
        <v>Other</v>
      </c>
      <c r="B13">
        <f>Tleave!G7</f>
        <v>4</v>
      </c>
      <c r="C13">
        <f>Tleave!D7</f>
        <v>2</v>
      </c>
      <c r="D13">
        <f>Tleave!C7</f>
        <v>0</v>
      </c>
      <c r="E13">
        <f>Tleave!E7</f>
        <v>1</v>
      </c>
      <c r="F13">
        <f>Tleave!F7</f>
        <v>0</v>
      </c>
      <c r="G13" s="438">
        <f>Tleave!B7</f>
        <v>7</v>
      </c>
      <c r="H13" s="779">
        <f>(B13/((Staffing!$B$17+Staffing!$B$16)/2)*100)</f>
        <v>0.11137407768341918</v>
      </c>
      <c r="I13" s="780">
        <f>(C13/((Staffing!$C$17+Staffing!$C$16)/2)*100)</f>
        <v>6.8775790921595595E-2</v>
      </c>
      <c r="J13" s="780">
        <f>(D13/((Staffing!$D$17+Staffing!$D$16)/2)*100)</f>
        <v>0</v>
      </c>
      <c r="K13" s="780">
        <f>(E13/((Staffing!$E$17+Staffing!$E$16)/2)*100)</f>
        <v>0.1221001221001221</v>
      </c>
      <c r="L13" s="780">
        <f>(F13/((Staffing!$F$17+Staffing!$F$16)/2)*100)</f>
        <v>0</v>
      </c>
      <c r="M13" s="781">
        <f>G13/((Staffing!$G$17+Staffing!$G$16)/2)*100</f>
        <v>8.9274327254176764E-2</v>
      </c>
    </row>
    <row r="14" spans="1:13" x14ac:dyDescent="0.25">
      <c r="A14" s="438" t="str">
        <f>Tleave!A8</f>
        <v>Resignation</v>
      </c>
      <c r="B14">
        <f>Tleave!G8</f>
        <v>13</v>
      </c>
      <c r="C14">
        <f>Tleave!D8</f>
        <v>144</v>
      </c>
      <c r="D14">
        <f>Tleave!C8</f>
        <v>9</v>
      </c>
      <c r="E14">
        <f>Tleave!E8</f>
        <v>49</v>
      </c>
      <c r="F14">
        <f>Tleave!F8</f>
        <v>32</v>
      </c>
      <c r="G14" s="438">
        <f>Tleave!B8</f>
        <v>247</v>
      </c>
      <c r="H14" s="779">
        <f>(B14/((Staffing!$B$17+Staffing!$B$16)/2)*100)</f>
        <v>0.36196575247111235</v>
      </c>
      <c r="I14" s="780">
        <f>(C14/((Staffing!$C$17+Staffing!$C$16)/2)*100)</f>
        <v>4.9518569463548827</v>
      </c>
      <c r="J14" s="780">
        <f>(D14/((Staffing!$D$17+Staffing!$D$16)/2)*100)</f>
        <v>4.5454545454545459</v>
      </c>
      <c r="K14" s="780">
        <f>(E14/((Staffing!$E$17+Staffing!$E$16)/2)*100)</f>
        <v>5.982905982905983</v>
      </c>
      <c r="L14" s="780">
        <f>(F14/((Staffing!$F$17+Staffing!$F$16)/2)*100)</f>
        <v>9.8613251155624049</v>
      </c>
      <c r="M14" s="781">
        <f>G14/((Staffing!$G$17+Staffing!$G$16)/2)*100</f>
        <v>3.1501084045402377</v>
      </c>
    </row>
    <row r="15" spans="1:13" x14ac:dyDescent="0.25">
      <c r="A15" s="438" t="str">
        <f>Tleave!A9</f>
        <v>Retirement - 30 Years Service</v>
      </c>
      <c r="B15">
        <f>Tleave!G9</f>
        <v>46</v>
      </c>
      <c r="C15">
        <f>Tleave!D9</f>
        <v>12</v>
      </c>
      <c r="D15">
        <f>Tleave!C9</f>
        <v>1</v>
      </c>
      <c r="E15">
        <f>Tleave!E9</f>
        <v>3</v>
      </c>
      <c r="F15">
        <f>Tleave!F9</f>
        <v>3</v>
      </c>
      <c r="G15" s="438">
        <f>Tleave!B9</f>
        <v>65</v>
      </c>
      <c r="H15" s="779">
        <f>(B15/((Staffing!$B$17+Staffing!$B$16)/2)*100)</f>
        <v>1.2808018933593206</v>
      </c>
      <c r="I15" s="780">
        <f>(C15/((Staffing!$C$17+Staffing!$C$16)/2)*100)</f>
        <v>0.41265474552957354</v>
      </c>
      <c r="J15" s="780">
        <f>(D15/((Staffing!$D$17+Staffing!$D$16)/2)*100)</f>
        <v>0.50505050505050508</v>
      </c>
      <c r="K15" s="780">
        <f>(E15/((Staffing!$E$17+Staffing!$E$16)/2)*100)</f>
        <v>0.36630036630036628</v>
      </c>
      <c r="L15" s="780">
        <f>(F15/((Staffing!$F$17+Staffing!$F$16)/2)*100)</f>
        <v>0.92449922958397546</v>
      </c>
      <c r="M15" s="781">
        <f>G15/((Staffing!$G$17+Staffing!$G$16)/2)*100</f>
        <v>0.82897589593164145</v>
      </c>
    </row>
    <row r="16" spans="1:13" x14ac:dyDescent="0.25">
      <c r="A16" s="438" t="str">
        <f>Tleave!A10</f>
        <v>Retirement - Age</v>
      </c>
      <c r="B16">
        <f>Tleave!G10</f>
        <v>110</v>
      </c>
      <c r="C16">
        <f>Tleave!D10</f>
        <v>18</v>
      </c>
      <c r="D16">
        <f>Tleave!C10</f>
        <v>4</v>
      </c>
      <c r="E16">
        <f>Tleave!E10</f>
        <v>12</v>
      </c>
      <c r="F16">
        <f>Tleave!F10</f>
        <v>3</v>
      </c>
      <c r="G16" s="438">
        <f>Tleave!B10</f>
        <v>147</v>
      </c>
      <c r="H16" s="779">
        <f>(B16/((Staffing!$B$17+Staffing!$B$16)/2)*100)</f>
        <v>3.0627871362940278</v>
      </c>
      <c r="I16" s="780">
        <f>(C16/((Staffing!$C$17+Staffing!$C$16)/2)*100)</f>
        <v>0.61898211829436034</v>
      </c>
      <c r="J16" s="780">
        <f>(D16/((Staffing!$D$17+Staffing!$D$16)/2)*100)</f>
        <v>2.0202020202020203</v>
      </c>
      <c r="K16" s="780">
        <f>(E16/((Staffing!$E$17+Staffing!$E$16)/2)*100)</f>
        <v>1.4652014652014651</v>
      </c>
      <c r="L16" s="780">
        <f>(F16/((Staffing!$F$17+Staffing!$F$16)/2)*100)</f>
        <v>0.92449922958397546</v>
      </c>
      <c r="M16" s="781">
        <f>G16/((Staffing!$G$17+Staffing!$G$16)/2)*100</f>
        <v>1.874760872337712</v>
      </c>
    </row>
    <row r="17" spans="1:13" x14ac:dyDescent="0.25">
      <c r="A17" s="438" t="str">
        <f>Tleave!A11</f>
        <v>Retirement - Early</v>
      </c>
      <c r="B17">
        <f>Tleave!G11</f>
        <v>0</v>
      </c>
      <c r="C17">
        <f>Tleave!D11</f>
        <v>0</v>
      </c>
      <c r="D17">
        <f>Tleave!C11</f>
        <v>0</v>
      </c>
      <c r="E17">
        <f>Tleave!E11</f>
        <v>12</v>
      </c>
      <c r="F17">
        <f>Tleave!F11</f>
        <v>0</v>
      </c>
      <c r="G17" s="438">
        <f>Tleave!B11</f>
        <v>12</v>
      </c>
      <c r="H17" s="779">
        <f>(B17/((Staffing!$B$17+Staffing!$B$16)/2)*100)</f>
        <v>0</v>
      </c>
      <c r="I17" s="780">
        <f>(C17/((Staffing!$C$17+Staffing!$C$16)/2)*100)</f>
        <v>0</v>
      </c>
      <c r="J17" s="780">
        <f>(D17/((Staffing!$D$17+Staffing!$D$16)/2)*100)</f>
        <v>0</v>
      </c>
      <c r="K17" s="780">
        <f>(E17/((Staffing!$E$17+Staffing!$E$16)/2)*100)</f>
        <v>1.4652014652014651</v>
      </c>
      <c r="L17" s="780">
        <f>(F17/((Staffing!$F$17+Staffing!$F$16)/2)*100)</f>
        <v>0</v>
      </c>
      <c r="M17" s="781">
        <f>G17/((Staffing!$G$17+Staffing!$G$16)/2)*100</f>
        <v>0.15304170386430302</v>
      </c>
    </row>
    <row r="18" spans="1:13" x14ac:dyDescent="0.25">
      <c r="A18" s="438" t="str">
        <f>Tleave!A12</f>
        <v>Retirement - Health</v>
      </c>
      <c r="B18">
        <f>Tleave!G12</f>
        <v>8</v>
      </c>
      <c r="C18">
        <f>Tleave!D12</f>
        <v>4</v>
      </c>
      <c r="D18">
        <f>Tleave!C12</f>
        <v>0</v>
      </c>
      <c r="E18">
        <f>Tleave!E12</f>
        <v>1</v>
      </c>
      <c r="F18">
        <f>Tleave!F12</f>
        <v>0</v>
      </c>
      <c r="G18" s="438">
        <f>Tleave!B12</f>
        <v>13</v>
      </c>
      <c r="H18" s="779">
        <f>(B18/((Staffing!$B$17+Staffing!$B$16)/2)*100)</f>
        <v>0.22274815536683837</v>
      </c>
      <c r="I18" s="780">
        <f>(C18/((Staffing!$C$17+Staffing!$C$16)/2)*100)</f>
        <v>0.13755158184319119</v>
      </c>
      <c r="J18" s="780">
        <f>(D18/((Staffing!$D$17+Staffing!$D$16)/2)*100)</f>
        <v>0</v>
      </c>
      <c r="K18" s="780">
        <f>(E18/((Staffing!$E$17+Staffing!$E$16)/2)*100)</f>
        <v>0.1221001221001221</v>
      </c>
      <c r="L18" s="780">
        <f>(F18/((Staffing!$F$17+Staffing!$F$16)/2)*100)</f>
        <v>0</v>
      </c>
      <c r="M18" s="781">
        <f>G18/((Staffing!$G$17+Staffing!$G$16)/2)*100</f>
        <v>0.16579517918632827</v>
      </c>
    </row>
    <row r="19" spans="1:13" x14ac:dyDescent="0.25">
      <c r="A19" s="438" t="str">
        <f>Tleave!A13</f>
        <v>Transfer - To another F&amp;R Service</v>
      </c>
      <c r="B19">
        <f>Tleave!G13</f>
        <v>2</v>
      </c>
      <c r="C19">
        <f>Tleave!D13</f>
        <v>0</v>
      </c>
      <c r="D19">
        <f>Tleave!C13</f>
        <v>0</v>
      </c>
      <c r="E19">
        <f>Tleave!E13</f>
        <v>0</v>
      </c>
      <c r="F19">
        <f>Tleave!F13</f>
        <v>0</v>
      </c>
      <c r="G19" s="438">
        <f>Tleave!B13</f>
        <v>2</v>
      </c>
      <c r="H19" s="779">
        <f>(B19/((Staffing!$B$17+Staffing!$B$16)/2)*100)</f>
        <v>5.5687038841709592E-2</v>
      </c>
      <c r="I19" s="780">
        <f>(C19/((Staffing!$C$17+Staffing!$C$16)/2)*100)</f>
        <v>0</v>
      </c>
      <c r="J19" s="780">
        <f>(D19/((Staffing!$D$17+Staffing!$D$16)/2)*100)</f>
        <v>0</v>
      </c>
      <c r="K19" s="780">
        <f>(E19/((Staffing!$E$17+Staffing!$E$16)/2)*100)</f>
        <v>0</v>
      </c>
      <c r="L19" s="780">
        <f>(F19/((Staffing!$F$17+Staffing!$F$16)/2)*100)</f>
        <v>0</v>
      </c>
      <c r="M19" s="781">
        <f>G19/((Staffing!$G$17+Staffing!$G$16)/2)*100</f>
        <v>2.5506950644050504E-2</v>
      </c>
    </row>
    <row r="20" spans="1:13" x14ac:dyDescent="0.25">
      <c r="A20" s="438" t="str">
        <f>Tleave!A14</f>
        <v>TUPE Transfer</v>
      </c>
      <c r="B20">
        <f>Tleave!G14</f>
        <v>0</v>
      </c>
      <c r="C20">
        <f>Tleave!D14</f>
        <v>0</v>
      </c>
      <c r="D20">
        <f>Tleave!C14</f>
        <v>0</v>
      </c>
      <c r="E20">
        <f>Tleave!E14</f>
        <v>47</v>
      </c>
      <c r="F20">
        <f>Tleave!F14</f>
        <v>0</v>
      </c>
      <c r="G20" s="438">
        <f>Tleave!B14</f>
        <v>47</v>
      </c>
      <c r="H20" s="779">
        <f>(B20/((Staffing!$B$17+Staffing!$B$16)/2)*100)</f>
        <v>0</v>
      </c>
      <c r="I20" s="780">
        <f>(C20/((Staffing!$C$17+Staffing!$C$16)/2)*100)</f>
        <v>0</v>
      </c>
      <c r="J20" s="780">
        <f>(D20/((Staffing!$D$17+Staffing!$D$16)/2)*100)</f>
        <v>0</v>
      </c>
      <c r="K20" s="780">
        <f>(E20/((Staffing!$E$17+Staffing!$E$16)/2)*100)</f>
        <v>5.7387057387057387</v>
      </c>
      <c r="L20" s="780">
        <f>(F20/((Staffing!$F$17+Staffing!$F$16)/2)*100)</f>
        <v>0</v>
      </c>
      <c r="M20" s="781">
        <f>G20/((Staffing!$G$17+Staffing!$G$16)/2)*100</f>
        <v>0.59941334013518677</v>
      </c>
    </row>
    <row r="21" spans="1:13" x14ac:dyDescent="0.25">
      <c r="A21" s="438" t="str">
        <f>Tleave!A15</f>
        <v>Voluntary Severance</v>
      </c>
      <c r="B21">
        <f>Tleave!G15</f>
        <v>0</v>
      </c>
      <c r="C21">
        <f>Tleave!D15</f>
        <v>0</v>
      </c>
      <c r="D21">
        <f>Tleave!C15</f>
        <v>0</v>
      </c>
      <c r="E21">
        <f>Tleave!E15</f>
        <v>17</v>
      </c>
      <c r="F21">
        <f>Tleave!F15</f>
        <v>0</v>
      </c>
      <c r="G21" s="438">
        <f>Tleave!B15</f>
        <v>17</v>
      </c>
      <c r="H21" s="779">
        <f>(B21/((Staffing!$B$17+Staffing!$B$16)/2)*100)</f>
        <v>0</v>
      </c>
      <c r="I21" s="780">
        <f>(C21/((Staffing!$C$17+Staffing!$C$16)/2)*100)</f>
        <v>0</v>
      </c>
      <c r="J21" s="780">
        <f>(D21/((Staffing!$D$17+Staffing!$D$16)/2)*100)</f>
        <v>0</v>
      </c>
      <c r="K21" s="780">
        <f>(E21/((Staffing!$E$17+Staffing!$E$16)/2)*100)</f>
        <v>2.0757020757020754</v>
      </c>
      <c r="L21" s="780">
        <f>(F21/((Staffing!$F$17+Staffing!$F$16)/2)*100)</f>
        <v>0</v>
      </c>
      <c r="M21" s="781">
        <f>G21/((Staffing!$G$17+Staffing!$G$16)/2)*100</f>
        <v>0.21680908047442932</v>
      </c>
    </row>
    <row r="22" spans="1:13" ht="15.75" thickBot="1" x14ac:dyDescent="0.3">
      <c r="A22" s="775" t="s">
        <v>415</v>
      </c>
      <c r="B22" s="775">
        <f t="shared" ref="B22:G22" si="0">SUM(B11:B21)</f>
        <v>186</v>
      </c>
      <c r="C22" s="775">
        <f t="shared" si="0"/>
        <v>188</v>
      </c>
      <c r="D22" s="775">
        <f t="shared" si="0"/>
        <v>14</v>
      </c>
      <c r="E22" s="775">
        <f>SUM(E11:E21)</f>
        <v>148</v>
      </c>
      <c r="F22" s="775">
        <f>SUM(F11:F21)</f>
        <v>38</v>
      </c>
      <c r="G22" s="782">
        <f t="shared" si="0"/>
        <v>574</v>
      </c>
      <c r="H22" s="783">
        <f>(B22/((Staffing!$B$17+Staffing!$B$16)/2)*100)</f>
        <v>5.1788946122789916</v>
      </c>
      <c r="I22" s="784">
        <f>(C22/((Staffing!$C$17+Staffing!$C$16)/2)*100)</f>
        <v>6.4649243466299868</v>
      </c>
      <c r="J22" s="784">
        <f>(D22/((Staffing!$D$17+Staffing!$D$16)/2)*100)</f>
        <v>7.0707070707070701</v>
      </c>
      <c r="K22" s="784">
        <f>(E22/((Staffing!$E$17+Staffing!$E$16)/2)*100)</f>
        <v>18.070818070818071</v>
      </c>
      <c r="L22" s="784">
        <f>(F22/((Staffing!$F$17+Staffing!$F$16)/2)*100)</f>
        <v>11.710323574730355</v>
      </c>
      <c r="M22" s="785">
        <f>G22/((Staffing!$G$17+Staffing!$G$16)/2)*100</f>
        <v>7.3204948348424947</v>
      </c>
    </row>
    <row r="24" spans="1:13" x14ac:dyDescent="0.25">
      <c r="A24" s="494" t="s">
        <v>8</v>
      </c>
    </row>
    <row r="25" spans="1:13" ht="30.75" customHeight="1" x14ac:dyDescent="0.25">
      <c r="A25" s="1022" t="s">
        <v>845</v>
      </c>
      <c r="B25" s="1022"/>
      <c r="C25" s="1022"/>
      <c r="D25" s="1022"/>
      <c r="E25" s="1022"/>
      <c r="F25" s="1022"/>
      <c r="G25" s="1022"/>
      <c r="H25" s="1022"/>
      <c r="I25" s="1022"/>
      <c r="J25" s="1022"/>
      <c r="K25" s="1022"/>
      <c r="L25" s="1022"/>
      <c r="M25" s="1022"/>
    </row>
    <row r="26" spans="1:13" x14ac:dyDescent="0.25">
      <c r="A26" t="s">
        <v>846</v>
      </c>
    </row>
    <row r="29" spans="1:13" ht="15" customHeight="1" x14ac:dyDescent="0.25"/>
    <row r="31" spans="1:13" x14ac:dyDescent="0.25">
      <c r="B31" s="969"/>
      <c r="C31" s="969"/>
      <c r="D31" s="969"/>
      <c r="E31" s="969"/>
      <c r="F31" s="969"/>
      <c r="G31" s="969"/>
      <c r="H31" s="969"/>
    </row>
  </sheetData>
  <sheetProtection algorithmName="SHA-512" hashValue="QcFQWttoPupefebDs44KBGZ+4cXaXfdU/8bb4+VjZB+Qi11hs+Pwuwem1QtY9LfMLAtOhPGupbt8ZfWmPMPl1g==" saltValue="M/Gzg00CijiXPdOQw+p25g==" spinCount="100000" sheet="1" objects="1" scenarios="1"/>
  <mergeCells count="3">
    <mergeCell ref="A1:C1"/>
    <mergeCell ref="A4:H4"/>
    <mergeCell ref="A25:M25"/>
  </mergeCells>
  <hyperlinks>
    <hyperlink ref="A2" location="'Table of Contents'!A1" display="Back to Table of Contents"/>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tint="0.39997558519241921"/>
    <pageSetUpPr fitToPage="1"/>
  </sheetPr>
  <dimension ref="A1:H6"/>
  <sheetViews>
    <sheetView showGridLines="0" workbookViewId="0">
      <pane ySplit="2" topLeftCell="A3" activePane="bottomLeft" state="frozen"/>
      <selection sqref="A1:C1"/>
      <selection pane="bottomLeft" sqref="A1:C1"/>
    </sheetView>
  </sheetViews>
  <sheetFormatPr defaultRowHeight="15" x14ac:dyDescent="0.25"/>
  <sheetData>
    <row r="1" spans="1:8" ht="15.75" x14ac:dyDescent="0.25">
      <c r="A1" s="993" t="s">
        <v>523</v>
      </c>
      <c r="B1" s="993"/>
      <c r="C1" s="993"/>
    </row>
    <row r="2" spans="1:8" ht="15.75" x14ac:dyDescent="0.25">
      <c r="A2" s="790" t="s">
        <v>598</v>
      </c>
      <c r="B2" s="668"/>
      <c r="C2" s="668"/>
    </row>
    <row r="4" spans="1:8" ht="15.75" x14ac:dyDescent="0.25">
      <c r="A4" s="998" t="s">
        <v>579</v>
      </c>
      <c r="B4" s="998"/>
      <c r="C4" s="998"/>
      <c r="D4" s="998"/>
      <c r="E4" s="998"/>
      <c r="F4" s="998"/>
      <c r="G4" s="998"/>
      <c r="H4" s="998"/>
    </row>
    <row r="5" spans="1:8" x14ac:dyDescent="0.25">
      <c r="A5" s="971" t="s">
        <v>826</v>
      </c>
    </row>
    <row r="6" spans="1:8" x14ac:dyDescent="0.25">
      <c r="A6" s="971" t="s">
        <v>759</v>
      </c>
    </row>
  </sheetData>
  <sheetProtection algorithmName="SHA-512" hashValue="BmA1k8qr6do3Iapa/8IggT4cteNOL2sOUgxfXQ3uGvToCXWW+LnUy8eSRR5yq18wHqu1MNqq94iJAHjhBHSUpw==" saltValue="p+sJaRv1qeMKSj0sWNivHA==" spinCount="100000" sheet="1" scenarios="1" pivotTables="0"/>
  <mergeCells count="2">
    <mergeCell ref="A1:C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63"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39997558519241921"/>
  </sheetPr>
  <dimension ref="A1:H6"/>
  <sheetViews>
    <sheetView showGridLines="0" workbookViewId="0">
      <pane ySplit="2" topLeftCell="A3" activePane="bottomLeft" state="frozen"/>
      <selection sqref="A1:C1"/>
      <selection pane="bottomLeft" sqref="A1:C1"/>
    </sheetView>
  </sheetViews>
  <sheetFormatPr defaultRowHeight="15" x14ac:dyDescent="0.25"/>
  <sheetData>
    <row r="1" spans="1:8" ht="15.75" x14ac:dyDescent="0.25">
      <c r="A1" s="993" t="s">
        <v>523</v>
      </c>
      <c r="B1" s="993"/>
      <c r="C1" s="993"/>
    </row>
    <row r="2" spans="1:8" ht="15.75" x14ac:dyDescent="0.25">
      <c r="A2" s="790" t="s">
        <v>598</v>
      </c>
      <c r="B2" s="668"/>
      <c r="C2" s="668"/>
    </row>
    <row r="4" spans="1:8" ht="15.75" x14ac:dyDescent="0.25">
      <c r="A4" s="998" t="s">
        <v>580</v>
      </c>
      <c r="B4" s="998"/>
      <c r="C4" s="998"/>
      <c r="D4" s="998"/>
      <c r="E4" s="998"/>
      <c r="F4" s="998"/>
      <c r="G4" s="998"/>
      <c r="H4" s="998"/>
    </row>
    <row r="5" spans="1:8" x14ac:dyDescent="0.25">
      <c r="A5" s="971" t="s">
        <v>826</v>
      </c>
    </row>
    <row r="6" spans="1:8" x14ac:dyDescent="0.25">
      <c r="A6" s="971" t="s">
        <v>760</v>
      </c>
    </row>
  </sheetData>
  <sheetProtection algorithmName="SHA-512" hashValue="6qXTqrWgnRgf6c4b+kPmsTXquH/SZlA4ZpIWzYhUCkFYYE9wG3Lq7TFaW6rzNpgGsEkeWqFbLbzi6vxFZldobg==" saltValue="+BqpSLgpYAl6DvDNRTXKHA==" spinCount="100000" sheet="1" scenarios="1" pivotTables="0"/>
  <mergeCells count="2">
    <mergeCell ref="A1:C1"/>
    <mergeCell ref="A4:H4"/>
  </mergeCells>
  <hyperlinks>
    <hyperlink ref="A2" location="'Table of Contents'!A1" display="Back to Table of Contents"/>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tint="0.39997558519241921"/>
    <pageSetUpPr fitToPage="1"/>
  </sheetPr>
  <dimension ref="A1:H6"/>
  <sheetViews>
    <sheetView showGridLines="0" workbookViewId="0">
      <pane ySplit="2" topLeftCell="A3" activePane="bottomLeft" state="frozen"/>
      <selection sqref="A1:C1"/>
      <selection pane="bottomLeft" sqref="A1:C1"/>
    </sheetView>
  </sheetViews>
  <sheetFormatPr defaultRowHeight="15" x14ac:dyDescent="0.25"/>
  <sheetData>
    <row r="1" spans="1:8" ht="15.75" x14ac:dyDescent="0.25">
      <c r="A1" s="993" t="s">
        <v>523</v>
      </c>
      <c r="B1" s="993"/>
      <c r="C1" s="993"/>
    </row>
    <row r="2" spans="1:8" ht="15.75" x14ac:dyDescent="0.25">
      <c r="A2" s="790" t="s">
        <v>598</v>
      </c>
      <c r="B2" s="668"/>
      <c r="C2" s="668"/>
    </row>
    <row r="4" spans="1:8" ht="15.75" x14ac:dyDescent="0.25">
      <c r="A4" s="998" t="s">
        <v>581</v>
      </c>
      <c r="B4" s="998"/>
      <c r="C4" s="998"/>
      <c r="D4" s="998"/>
      <c r="E4" s="998"/>
      <c r="F4" s="998"/>
      <c r="G4" s="998"/>
      <c r="H4" s="998"/>
    </row>
    <row r="5" spans="1:8" x14ac:dyDescent="0.25">
      <c r="A5" s="971" t="s">
        <v>826</v>
      </c>
    </row>
    <row r="6" spans="1:8" x14ac:dyDescent="0.25">
      <c r="A6" s="971" t="s">
        <v>761</v>
      </c>
    </row>
  </sheetData>
  <sheetProtection algorithmName="SHA-512" hashValue="y34m3L8maoLth2ibkKwc9fItPUQA0IwUHYMR/wJDUUnJBddmVKETiadEKaIJhO+Fk6uQXKhPeO/vBmhA9yrJvA==" saltValue="9qwjP31jSCozFBMNgsNapg==" spinCount="100000" sheet="1" scenarios="1" pivotTables="0"/>
  <mergeCells count="2">
    <mergeCell ref="A1:C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tint="0.39997558519241921"/>
    <pageSetUpPr fitToPage="1"/>
  </sheetPr>
  <dimension ref="A1:H40"/>
  <sheetViews>
    <sheetView showGridLines="0" workbookViewId="0">
      <pane ySplit="2" topLeftCell="A3" activePane="bottomLeft" state="frozen"/>
      <selection sqref="A1:C1"/>
      <selection pane="bottomLeft" sqref="A1:C1"/>
    </sheetView>
  </sheetViews>
  <sheetFormatPr defaultRowHeight="15" x14ac:dyDescent="0.25"/>
  <sheetData>
    <row r="1" spans="1:8" ht="15.75" x14ac:dyDescent="0.25">
      <c r="A1" s="993" t="s">
        <v>523</v>
      </c>
      <c r="B1" s="993"/>
      <c r="C1" s="993"/>
    </row>
    <row r="2" spans="1:8" ht="15.75" x14ac:dyDescent="0.25">
      <c r="A2" s="790" t="s">
        <v>598</v>
      </c>
      <c r="B2" s="668"/>
      <c r="C2" s="668"/>
    </row>
    <row r="4" spans="1:8" ht="15.75" x14ac:dyDescent="0.25">
      <c r="A4" s="998" t="s">
        <v>544</v>
      </c>
      <c r="B4" s="998"/>
      <c r="C4" s="998"/>
      <c r="D4" s="998"/>
      <c r="E4" s="998"/>
      <c r="F4" s="998"/>
      <c r="G4" s="998"/>
      <c r="H4" s="998"/>
    </row>
    <row r="5" spans="1:8" x14ac:dyDescent="0.25">
      <c r="A5" s="971" t="s">
        <v>826</v>
      </c>
    </row>
    <row r="6" spans="1:8" x14ac:dyDescent="0.25">
      <c r="A6" s="971" t="s">
        <v>762</v>
      </c>
    </row>
    <row r="40" spans="1:1" ht="21" x14ac:dyDescent="0.35">
      <c r="A40" s="483" t="s">
        <v>211</v>
      </c>
    </row>
  </sheetData>
  <sheetProtection algorithmName="SHA-512" hashValue="L86JuBMHxQEOUlLB81om+wjgckQd0CBr5dWd5JzLWBf2SkTsr5v4F1DE4CIFRSAxHnEL094FR5Bpf92nXqN9fg==" saltValue="yDwxDfXwsjQIme9VG83Efw==" spinCount="100000" sheet="1" scenarios="1"/>
  <mergeCells count="2">
    <mergeCell ref="A1:C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63"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4" tint="0.59999389629810485"/>
  </sheetPr>
  <dimension ref="A3:G111"/>
  <sheetViews>
    <sheetView workbookViewId="0">
      <selection activeCell="Q33" sqref="Q33"/>
    </sheetView>
  </sheetViews>
  <sheetFormatPr defaultRowHeight="15" x14ac:dyDescent="0.25"/>
  <cols>
    <col min="1" max="1" width="21.85546875" customWidth="1"/>
    <col min="2" max="2" width="18" customWidth="1"/>
    <col min="3" max="3" width="15.7109375" customWidth="1"/>
    <col min="4" max="4" width="16.7109375" customWidth="1"/>
    <col min="5" max="5" width="12" customWidth="1"/>
    <col min="6" max="6" width="15.7109375" customWidth="1"/>
    <col min="7" max="7" width="12" bestFit="1" customWidth="1"/>
  </cols>
  <sheetData>
    <row r="3" spans="1:5" x14ac:dyDescent="0.25">
      <c r="A3" s="569" t="s">
        <v>334</v>
      </c>
      <c r="B3" t="s">
        <v>258</v>
      </c>
    </row>
    <row r="5" spans="1:5" x14ac:dyDescent="0.25">
      <c r="A5" s="569" t="s">
        <v>250</v>
      </c>
      <c r="B5" t="s">
        <v>335</v>
      </c>
      <c r="C5" t="s">
        <v>336</v>
      </c>
      <c r="D5" t="s">
        <v>337</v>
      </c>
      <c r="E5" t="s">
        <v>256</v>
      </c>
    </row>
    <row r="6" spans="1:5" x14ac:dyDescent="0.25">
      <c r="A6" s="986" t="s">
        <v>31</v>
      </c>
      <c r="B6" s="571">
        <v>3</v>
      </c>
      <c r="C6" s="571">
        <v>1</v>
      </c>
      <c r="D6" s="571"/>
      <c r="E6" s="571">
        <v>4</v>
      </c>
    </row>
    <row r="7" spans="1:5" x14ac:dyDescent="0.25">
      <c r="A7" s="986" t="s">
        <v>32</v>
      </c>
      <c r="B7" s="571">
        <v>1</v>
      </c>
      <c r="C7" s="571">
        <v>23</v>
      </c>
      <c r="D7" s="571"/>
      <c r="E7" s="571">
        <v>24</v>
      </c>
    </row>
    <row r="8" spans="1:5" x14ac:dyDescent="0.25">
      <c r="A8" s="986" t="s">
        <v>33</v>
      </c>
      <c r="B8" s="571">
        <v>1</v>
      </c>
      <c r="C8" s="571">
        <v>5</v>
      </c>
      <c r="D8" s="571"/>
      <c r="E8" s="571">
        <v>6</v>
      </c>
    </row>
    <row r="9" spans="1:5" x14ac:dyDescent="0.25">
      <c r="A9" s="986" t="s">
        <v>34</v>
      </c>
      <c r="B9" s="571">
        <v>2</v>
      </c>
      <c r="C9" s="571">
        <v>12</v>
      </c>
      <c r="D9" s="571">
        <v>25</v>
      </c>
      <c r="E9" s="571">
        <v>39</v>
      </c>
    </row>
    <row r="10" spans="1:5" x14ac:dyDescent="0.25">
      <c r="A10" s="986" t="s">
        <v>262</v>
      </c>
      <c r="B10" s="571">
        <v>7</v>
      </c>
      <c r="C10" s="571">
        <v>1</v>
      </c>
      <c r="D10" s="571"/>
      <c r="E10" s="571">
        <v>8</v>
      </c>
    </row>
    <row r="11" spans="1:5" x14ac:dyDescent="0.25">
      <c r="A11" s="986" t="s">
        <v>35</v>
      </c>
      <c r="B11" s="571">
        <v>1</v>
      </c>
      <c r="C11" s="571">
        <v>1</v>
      </c>
      <c r="D11" s="571"/>
      <c r="E11" s="571">
        <v>2</v>
      </c>
    </row>
    <row r="12" spans="1:5" x14ac:dyDescent="0.25">
      <c r="A12" s="986" t="s">
        <v>36</v>
      </c>
      <c r="B12" s="571">
        <v>1</v>
      </c>
      <c r="C12" s="571">
        <v>15</v>
      </c>
      <c r="D12" s="571">
        <v>1</v>
      </c>
      <c r="E12" s="571">
        <v>17</v>
      </c>
    </row>
    <row r="13" spans="1:5" x14ac:dyDescent="0.25">
      <c r="A13" s="986" t="s">
        <v>37</v>
      </c>
      <c r="B13" s="571">
        <v>4</v>
      </c>
      <c r="C13" s="571"/>
      <c r="D13" s="571"/>
      <c r="E13" s="571">
        <v>4</v>
      </c>
    </row>
    <row r="14" spans="1:5" x14ac:dyDescent="0.25">
      <c r="A14" s="986" t="s">
        <v>38</v>
      </c>
      <c r="B14" s="571">
        <v>1</v>
      </c>
      <c r="C14" s="571">
        <v>7</v>
      </c>
      <c r="D14" s="571"/>
      <c r="E14" s="571">
        <v>8</v>
      </c>
    </row>
    <row r="15" spans="1:5" x14ac:dyDescent="0.25">
      <c r="A15" s="986" t="s">
        <v>39</v>
      </c>
      <c r="B15" s="571">
        <v>3</v>
      </c>
      <c r="C15" s="571"/>
      <c r="D15" s="571"/>
      <c r="E15" s="571">
        <v>3</v>
      </c>
    </row>
    <row r="16" spans="1:5" x14ac:dyDescent="0.25">
      <c r="A16" s="986" t="s">
        <v>40</v>
      </c>
      <c r="B16" s="571">
        <v>1</v>
      </c>
      <c r="C16" s="571">
        <v>5</v>
      </c>
      <c r="D16" s="571"/>
      <c r="E16" s="571">
        <v>6</v>
      </c>
    </row>
    <row r="17" spans="1:5" x14ac:dyDescent="0.25">
      <c r="A17" s="986" t="s">
        <v>41</v>
      </c>
      <c r="B17" s="571">
        <v>2</v>
      </c>
      <c r="C17" s="571"/>
      <c r="D17" s="571"/>
      <c r="E17" s="571">
        <v>2</v>
      </c>
    </row>
    <row r="18" spans="1:5" x14ac:dyDescent="0.25">
      <c r="A18" s="986" t="s">
        <v>42</v>
      </c>
      <c r="B18" s="571">
        <v>3</v>
      </c>
      <c r="C18" s="571">
        <v>2</v>
      </c>
      <c r="D18" s="571"/>
      <c r="E18" s="571">
        <v>5</v>
      </c>
    </row>
    <row r="19" spans="1:5" x14ac:dyDescent="0.25">
      <c r="A19" s="986" t="s">
        <v>43</v>
      </c>
      <c r="B19" s="571">
        <v>5</v>
      </c>
      <c r="C19" s="571">
        <v>8</v>
      </c>
      <c r="D19" s="571"/>
      <c r="E19" s="571">
        <v>13</v>
      </c>
    </row>
    <row r="20" spans="1:5" x14ac:dyDescent="0.25">
      <c r="A20" s="986" t="s">
        <v>124</v>
      </c>
      <c r="B20" s="571">
        <v>11</v>
      </c>
      <c r="C20" s="571"/>
      <c r="D20" s="571"/>
      <c r="E20" s="571">
        <v>11</v>
      </c>
    </row>
    <row r="21" spans="1:5" x14ac:dyDescent="0.25">
      <c r="A21" s="986" t="s">
        <v>44</v>
      </c>
      <c r="B21" s="571">
        <v>1</v>
      </c>
      <c r="C21" s="571">
        <v>51</v>
      </c>
      <c r="D21" s="571">
        <v>9</v>
      </c>
      <c r="E21" s="571">
        <v>61</v>
      </c>
    </row>
    <row r="22" spans="1:5" x14ac:dyDescent="0.25">
      <c r="A22" s="986" t="s">
        <v>45</v>
      </c>
      <c r="B22" s="571">
        <v>2</v>
      </c>
      <c r="C22" s="571">
        <v>1</v>
      </c>
      <c r="D22" s="571"/>
      <c r="E22" s="571">
        <v>3</v>
      </c>
    </row>
    <row r="23" spans="1:5" x14ac:dyDescent="0.25">
      <c r="A23" s="986" t="s">
        <v>46</v>
      </c>
      <c r="B23" s="571">
        <v>1</v>
      </c>
      <c r="C23" s="571">
        <v>1</v>
      </c>
      <c r="D23" s="571"/>
      <c r="E23" s="571">
        <v>2</v>
      </c>
    </row>
    <row r="24" spans="1:5" x14ac:dyDescent="0.25">
      <c r="A24" s="986" t="s">
        <v>47</v>
      </c>
      <c r="B24" s="571">
        <v>1</v>
      </c>
      <c r="C24" s="571">
        <v>10</v>
      </c>
      <c r="D24" s="571"/>
      <c r="E24" s="571">
        <v>11</v>
      </c>
    </row>
    <row r="25" spans="1:5" x14ac:dyDescent="0.25">
      <c r="A25" s="986" t="s">
        <v>48</v>
      </c>
      <c r="B25" s="571"/>
      <c r="C25" s="571">
        <v>14</v>
      </c>
      <c r="D25" s="571"/>
      <c r="E25" s="571">
        <v>14</v>
      </c>
    </row>
    <row r="26" spans="1:5" x14ac:dyDescent="0.25">
      <c r="A26" s="986" t="s">
        <v>49</v>
      </c>
      <c r="B26" s="571">
        <v>3</v>
      </c>
      <c r="C26" s="571">
        <v>8</v>
      </c>
      <c r="D26" s="571">
        <v>3</v>
      </c>
      <c r="E26" s="571">
        <v>14</v>
      </c>
    </row>
    <row r="27" spans="1:5" x14ac:dyDescent="0.25">
      <c r="A27" s="986" t="s">
        <v>50</v>
      </c>
      <c r="B27" s="571">
        <v>4</v>
      </c>
      <c r="C27" s="571">
        <v>3</v>
      </c>
      <c r="D27" s="571"/>
      <c r="E27" s="571">
        <v>7</v>
      </c>
    </row>
    <row r="28" spans="1:5" x14ac:dyDescent="0.25">
      <c r="A28" s="986" t="s">
        <v>51</v>
      </c>
      <c r="B28" s="571"/>
      <c r="C28" s="571">
        <v>12</v>
      </c>
      <c r="D28" s="571"/>
      <c r="E28" s="571">
        <v>12</v>
      </c>
    </row>
    <row r="29" spans="1:5" x14ac:dyDescent="0.25">
      <c r="A29" s="986" t="s">
        <v>52</v>
      </c>
      <c r="B29" s="571">
        <v>1</v>
      </c>
      <c r="C29" s="571">
        <v>10</v>
      </c>
      <c r="D29" s="571">
        <v>3</v>
      </c>
      <c r="E29" s="571">
        <v>14</v>
      </c>
    </row>
    <row r="30" spans="1:5" x14ac:dyDescent="0.25">
      <c r="A30" s="986" t="s">
        <v>53</v>
      </c>
      <c r="B30" s="571">
        <v>3</v>
      </c>
      <c r="C30" s="571"/>
      <c r="D30" s="571"/>
      <c r="E30" s="571">
        <v>3</v>
      </c>
    </row>
    <row r="31" spans="1:5" x14ac:dyDescent="0.25">
      <c r="A31" s="986" t="s">
        <v>54</v>
      </c>
      <c r="B31" s="571">
        <v>2</v>
      </c>
      <c r="C31" s="571">
        <v>11</v>
      </c>
      <c r="D31" s="571"/>
      <c r="E31" s="571">
        <v>13</v>
      </c>
    </row>
    <row r="32" spans="1:5" x14ac:dyDescent="0.25">
      <c r="A32" s="986" t="s">
        <v>55</v>
      </c>
      <c r="B32" s="571"/>
      <c r="C32" s="571">
        <v>14</v>
      </c>
      <c r="D32" s="571"/>
      <c r="E32" s="571">
        <v>14</v>
      </c>
    </row>
    <row r="33" spans="1:7" x14ac:dyDescent="0.25">
      <c r="A33" s="986" t="s">
        <v>56</v>
      </c>
      <c r="B33" s="571">
        <v>1</v>
      </c>
      <c r="C33" s="571">
        <v>4</v>
      </c>
      <c r="D33" s="571"/>
      <c r="E33" s="571">
        <v>5</v>
      </c>
    </row>
    <row r="34" spans="1:7" x14ac:dyDescent="0.25">
      <c r="A34" s="986" t="s">
        <v>57</v>
      </c>
      <c r="B34" s="571">
        <v>4</v>
      </c>
      <c r="C34" s="571">
        <v>7</v>
      </c>
      <c r="D34" s="571">
        <v>1</v>
      </c>
      <c r="E34" s="571">
        <v>12</v>
      </c>
    </row>
    <row r="35" spans="1:7" x14ac:dyDescent="0.25">
      <c r="A35" s="986" t="s">
        <v>58</v>
      </c>
      <c r="B35" s="571">
        <v>1</v>
      </c>
      <c r="C35" s="571">
        <v>9</v>
      </c>
      <c r="D35" s="571"/>
      <c r="E35" s="571">
        <v>10</v>
      </c>
    </row>
    <row r="36" spans="1:7" x14ac:dyDescent="0.25">
      <c r="A36" s="986" t="s">
        <v>59</v>
      </c>
      <c r="B36" s="571">
        <v>2</v>
      </c>
      <c r="C36" s="571">
        <v>1</v>
      </c>
      <c r="D36" s="571"/>
      <c r="E36" s="571">
        <v>3</v>
      </c>
    </row>
    <row r="37" spans="1:7" x14ac:dyDescent="0.25">
      <c r="A37" s="986" t="s">
        <v>60</v>
      </c>
      <c r="B37" s="571">
        <v>2</v>
      </c>
      <c r="C37" s="571">
        <v>4</v>
      </c>
      <c r="D37" s="571"/>
      <c r="E37" s="571">
        <v>6</v>
      </c>
    </row>
    <row r="38" spans="1:7" x14ac:dyDescent="0.25">
      <c r="A38" s="986" t="s">
        <v>255</v>
      </c>
      <c r="B38" s="571">
        <v>74</v>
      </c>
      <c r="C38" s="571">
        <v>240</v>
      </c>
      <c r="D38" s="571">
        <v>42</v>
      </c>
      <c r="E38" s="571">
        <v>356</v>
      </c>
    </row>
    <row r="39" spans="1:7" x14ac:dyDescent="0.25">
      <c r="A39" s="569" t="s">
        <v>334</v>
      </c>
      <c r="B39" t="s">
        <v>275</v>
      </c>
    </row>
    <row r="41" spans="1:7" x14ac:dyDescent="0.25">
      <c r="A41" s="569" t="s">
        <v>250</v>
      </c>
      <c r="B41" t="s">
        <v>335</v>
      </c>
      <c r="C41" t="s">
        <v>338</v>
      </c>
      <c r="D41" t="s">
        <v>339</v>
      </c>
      <c r="E41" t="s">
        <v>337</v>
      </c>
      <c r="F41" t="s">
        <v>336</v>
      </c>
      <c r="G41" t="s">
        <v>256</v>
      </c>
    </row>
    <row r="42" spans="1:7" x14ac:dyDescent="0.25">
      <c r="A42" s="986" t="s">
        <v>31</v>
      </c>
      <c r="B42" s="571">
        <v>3</v>
      </c>
      <c r="C42" s="571"/>
      <c r="D42" s="571"/>
      <c r="E42" s="571"/>
      <c r="F42" s="571">
        <v>1</v>
      </c>
      <c r="G42" s="571">
        <v>4</v>
      </c>
    </row>
    <row r="43" spans="1:7" x14ac:dyDescent="0.25">
      <c r="A43" s="986" t="s">
        <v>32</v>
      </c>
      <c r="B43" s="571"/>
      <c r="C43" s="571">
        <v>1</v>
      </c>
      <c r="D43" s="571"/>
      <c r="E43" s="571"/>
      <c r="F43" s="571">
        <v>23</v>
      </c>
      <c r="G43" s="571">
        <v>24</v>
      </c>
    </row>
    <row r="44" spans="1:7" x14ac:dyDescent="0.25">
      <c r="A44" s="986" t="s">
        <v>33</v>
      </c>
      <c r="B44" s="571"/>
      <c r="C44" s="571">
        <v>1</v>
      </c>
      <c r="D44" s="571"/>
      <c r="E44" s="571"/>
      <c r="F44" s="571">
        <v>5</v>
      </c>
      <c r="G44" s="571">
        <v>6</v>
      </c>
    </row>
    <row r="45" spans="1:7" x14ac:dyDescent="0.25">
      <c r="A45" s="986" t="s">
        <v>34</v>
      </c>
      <c r="B45" s="571"/>
      <c r="C45" s="571">
        <v>2</v>
      </c>
      <c r="D45" s="571"/>
      <c r="E45" s="571">
        <v>25</v>
      </c>
      <c r="F45" s="571">
        <v>12</v>
      </c>
      <c r="G45" s="571">
        <v>39</v>
      </c>
    </row>
    <row r="46" spans="1:7" x14ac:dyDescent="0.25">
      <c r="A46" s="986" t="s">
        <v>262</v>
      </c>
      <c r="B46" s="571">
        <v>7</v>
      </c>
      <c r="C46" s="571"/>
      <c r="D46" s="571"/>
      <c r="E46" s="571"/>
      <c r="F46" s="571">
        <v>1</v>
      </c>
      <c r="G46" s="571">
        <v>8</v>
      </c>
    </row>
    <row r="47" spans="1:7" x14ac:dyDescent="0.25">
      <c r="A47" s="986" t="s">
        <v>35</v>
      </c>
      <c r="B47" s="571"/>
      <c r="C47" s="571">
        <v>1</v>
      </c>
      <c r="D47" s="571"/>
      <c r="E47" s="571"/>
      <c r="F47" s="571">
        <v>1</v>
      </c>
      <c r="G47" s="571">
        <v>2</v>
      </c>
    </row>
    <row r="48" spans="1:7" x14ac:dyDescent="0.25">
      <c r="A48" s="986" t="s">
        <v>36</v>
      </c>
      <c r="B48" s="571"/>
      <c r="C48" s="571">
        <v>1</v>
      </c>
      <c r="D48" s="571"/>
      <c r="E48" s="571">
        <v>1</v>
      </c>
      <c r="F48" s="571">
        <v>15</v>
      </c>
      <c r="G48" s="571">
        <v>17</v>
      </c>
    </row>
    <row r="49" spans="1:7" x14ac:dyDescent="0.25">
      <c r="A49" s="986" t="s">
        <v>37</v>
      </c>
      <c r="B49" s="571">
        <v>3</v>
      </c>
      <c r="C49" s="571">
        <v>1</v>
      </c>
      <c r="D49" s="571"/>
      <c r="E49" s="571"/>
      <c r="F49" s="571"/>
      <c r="G49" s="571">
        <v>4</v>
      </c>
    </row>
    <row r="50" spans="1:7" x14ac:dyDescent="0.25">
      <c r="A50" s="986" t="s">
        <v>38</v>
      </c>
      <c r="B50" s="571">
        <v>1</v>
      </c>
      <c r="C50" s="571"/>
      <c r="D50" s="571"/>
      <c r="E50" s="571"/>
      <c r="F50" s="571">
        <v>7</v>
      </c>
      <c r="G50" s="571">
        <v>8</v>
      </c>
    </row>
    <row r="51" spans="1:7" x14ac:dyDescent="0.25">
      <c r="A51" s="986" t="s">
        <v>39</v>
      </c>
      <c r="B51" s="571">
        <v>3</v>
      </c>
      <c r="C51" s="571"/>
      <c r="D51" s="571"/>
      <c r="E51" s="571"/>
      <c r="F51" s="571"/>
      <c r="G51" s="571">
        <v>3</v>
      </c>
    </row>
    <row r="52" spans="1:7" x14ac:dyDescent="0.25">
      <c r="A52" s="986" t="s">
        <v>40</v>
      </c>
      <c r="B52" s="571">
        <v>1</v>
      </c>
      <c r="C52" s="571"/>
      <c r="D52" s="571"/>
      <c r="E52" s="571"/>
      <c r="F52" s="571">
        <v>5</v>
      </c>
      <c r="G52" s="571">
        <v>6</v>
      </c>
    </row>
    <row r="53" spans="1:7" x14ac:dyDescent="0.25">
      <c r="A53" s="986" t="s">
        <v>41</v>
      </c>
      <c r="B53" s="571">
        <v>2</v>
      </c>
      <c r="C53" s="571"/>
      <c r="D53" s="571"/>
      <c r="E53" s="571"/>
      <c r="F53" s="571"/>
      <c r="G53" s="571">
        <v>2</v>
      </c>
    </row>
    <row r="54" spans="1:7" x14ac:dyDescent="0.25">
      <c r="A54" s="986" t="s">
        <v>42</v>
      </c>
      <c r="B54" s="571"/>
      <c r="C54" s="571">
        <v>3</v>
      </c>
      <c r="D54" s="571"/>
      <c r="E54" s="571"/>
      <c r="F54" s="571">
        <v>2</v>
      </c>
      <c r="G54" s="571">
        <v>5</v>
      </c>
    </row>
    <row r="55" spans="1:7" x14ac:dyDescent="0.25">
      <c r="A55" s="986" t="s">
        <v>43</v>
      </c>
      <c r="B55" s="571">
        <v>5</v>
      </c>
      <c r="C55" s="571"/>
      <c r="D55" s="571"/>
      <c r="E55" s="571"/>
      <c r="F55" s="571">
        <v>8</v>
      </c>
      <c r="G55" s="571">
        <v>13</v>
      </c>
    </row>
    <row r="56" spans="1:7" x14ac:dyDescent="0.25">
      <c r="A56" s="986" t="s">
        <v>124</v>
      </c>
      <c r="B56" s="571">
        <v>11</v>
      </c>
      <c r="C56" s="571"/>
      <c r="D56" s="571"/>
      <c r="E56" s="571"/>
      <c r="F56" s="571"/>
      <c r="G56" s="571">
        <v>11</v>
      </c>
    </row>
    <row r="57" spans="1:7" x14ac:dyDescent="0.25">
      <c r="A57" s="986" t="s">
        <v>44</v>
      </c>
      <c r="B57" s="571"/>
      <c r="C57" s="571">
        <v>1</v>
      </c>
      <c r="D57" s="571"/>
      <c r="E57" s="571">
        <v>9</v>
      </c>
      <c r="F57" s="571">
        <v>51</v>
      </c>
      <c r="G57" s="571">
        <v>61</v>
      </c>
    </row>
    <row r="58" spans="1:7" x14ac:dyDescent="0.25">
      <c r="A58" s="986" t="s">
        <v>45</v>
      </c>
      <c r="B58" s="571"/>
      <c r="C58" s="571">
        <v>2</v>
      </c>
      <c r="D58" s="571"/>
      <c r="E58" s="571"/>
      <c r="F58" s="571">
        <v>1</v>
      </c>
      <c r="G58" s="571">
        <v>3</v>
      </c>
    </row>
    <row r="59" spans="1:7" x14ac:dyDescent="0.25">
      <c r="A59" s="986" t="s">
        <v>46</v>
      </c>
      <c r="B59" s="571">
        <v>1</v>
      </c>
      <c r="C59" s="571"/>
      <c r="D59" s="571"/>
      <c r="E59" s="571"/>
      <c r="F59" s="571">
        <v>1</v>
      </c>
      <c r="G59" s="571">
        <v>2</v>
      </c>
    </row>
    <row r="60" spans="1:7" x14ac:dyDescent="0.25">
      <c r="A60" s="986" t="s">
        <v>47</v>
      </c>
      <c r="B60" s="571"/>
      <c r="C60" s="571">
        <v>1</v>
      </c>
      <c r="D60" s="571"/>
      <c r="E60" s="571"/>
      <c r="F60" s="571">
        <v>10</v>
      </c>
      <c r="G60" s="571">
        <v>11</v>
      </c>
    </row>
    <row r="61" spans="1:7" x14ac:dyDescent="0.25">
      <c r="A61" s="986" t="s">
        <v>48</v>
      </c>
      <c r="B61" s="571"/>
      <c r="C61" s="571"/>
      <c r="D61" s="571"/>
      <c r="E61" s="571"/>
      <c r="F61" s="571">
        <v>14</v>
      </c>
      <c r="G61" s="571">
        <v>14</v>
      </c>
    </row>
    <row r="62" spans="1:7" x14ac:dyDescent="0.25">
      <c r="A62" s="986" t="s">
        <v>49</v>
      </c>
      <c r="B62" s="571">
        <v>1</v>
      </c>
      <c r="C62" s="571">
        <v>2</v>
      </c>
      <c r="D62" s="571"/>
      <c r="E62" s="571">
        <v>3</v>
      </c>
      <c r="F62" s="571">
        <v>8</v>
      </c>
      <c r="G62" s="571">
        <v>14</v>
      </c>
    </row>
    <row r="63" spans="1:7" x14ac:dyDescent="0.25">
      <c r="A63" s="986" t="s">
        <v>50</v>
      </c>
      <c r="B63" s="571">
        <v>4</v>
      </c>
      <c r="C63" s="571"/>
      <c r="D63" s="571"/>
      <c r="E63" s="571"/>
      <c r="F63" s="571">
        <v>3</v>
      </c>
      <c r="G63" s="571">
        <v>7</v>
      </c>
    </row>
    <row r="64" spans="1:7" x14ac:dyDescent="0.25">
      <c r="A64" s="986" t="s">
        <v>51</v>
      </c>
      <c r="B64" s="571"/>
      <c r="C64" s="571"/>
      <c r="D64" s="571"/>
      <c r="E64" s="571"/>
      <c r="F64" s="571">
        <v>12</v>
      </c>
      <c r="G64" s="571">
        <v>12</v>
      </c>
    </row>
    <row r="65" spans="1:7" x14ac:dyDescent="0.25">
      <c r="A65" s="986" t="s">
        <v>52</v>
      </c>
      <c r="B65" s="571">
        <v>1</v>
      </c>
      <c r="C65" s="571"/>
      <c r="D65" s="571"/>
      <c r="E65" s="571">
        <v>3</v>
      </c>
      <c r="F65" s="571">
        <v>10</v>
      </c>
      <c r="G65" s="571">
        <v>14</v>
      </c>
    </row>
    <row r="66" spans="1:7" x14ac:dyDescent="0.25">
      <c r="A66" s="986" t="s">
        <v>53</v>
      </c>
      <c r="B66" s="571">
        <v>2</v>
      </c>
      <c r="C66" s="571">
        <v>1</v>
      </c>
      <c r="D66" s="571"/>
      <c r="E66" s="571"/>
      <c r="F66" s="571"/>
      <c r="G66" s="571">
        <v>3</v>
      </c>
    </row>
    <row r="67" spans="1:7" x14ac:dyDescent="0.25">
      <c r="A67" s="986" t="s">
        <v>54</v>
      </c>
      <c r="B67" s="571"/>
      <c r="C67" s="571">
        <v>2</v>
      </c>
      <c r="D67" s="571"/>
      <c r="E67" s="571"/>
      <c r="F67" s="571">
        <v>11</v>
      </c>
      <c r="G67" s="571">
        <v>13</v>
      </c>
    </row>
    <row r="68" spans="1:7" x14ac:dyDescent="0.25">
      <c r="A68" s="986" t="s">
        <v>55</v>
      </c>
      <c r="B68" s="571"/>
      <c r="C68" s="571"/>
      <c r="D68" s="571"/>
      <c r="E68" s="571"/>
      <c r="F68" s="571">
        <v>14</v>
      </c>
      <c r="G68" s="571">
        <v>14</v>
      </c>
    </row>
    <row r="69" spans="1:7" x14ac:dyDescent="0.25">
      <c r="A69" s="986" t="s">
        <v>56</v>
      </c>
      <c r="B69" s="571"/>
      <c r="C69" s="571">
        <v>1</v>
      </c>
      <c r="D69" s="571"/>
      <c r="E69" s="571"/>
      <c r="F69" s="571">
        <v>4</v>
      </c>
      <c r="G69" s="571">
        <v>5</v>
      </c>
    </row>
    <row r="70" spans="1:7" x14ac:dyDescent="0.25">
      <c r="A70" s="986" t="s">
        <v>57</v>
      </c>
      <c r="B70" s="571">
        <v>3</v>
      </c>
      <c r="C70" s="571">
        <v>1</v>
      </c>
      <c r="D70" s="571"/>
      <c r="E70" s="571">
        <v>1</v>
      </c>
      <c r="F70" s="571">
        <v>7</v>
      </c>
      <c r="G70" s="571">
        <v>12</v>
      </c>
    </row>
    <row r="71" spans="1:7" x14ac:dyDescent="0.25">
      <c r="A71" s="986" t="s">
        <v>58</v>
      </c>
      <c r="B71" s="571">
        <v>1</v>
      </c>
      <c r="C71" s="571"/>
      <c r="D71" s="571"/>
      <c r="E71" s="571"/>
      <c r="F71" s="571">
        <v>9</v>
      </c>
      <c r="G71" s="571">
        <v>10</v>
      </c>
    </row>
    <row r="72" spans="1:7" x14ac:dyDescent="0.25">
      <c r="A72" s="986" t="s">
        <v>59</v>
      </c>
      <c r="B72" s="571">
        <v>1</v>
      </c>
      <c r="C72" s="571">
        <v>1</v>
      </c>
      <c r="D72" s="571"/>
      <c r="E72" s="571"/>
      <c r="F72" s="571">
        <v>1</v>
      </c>
      <c r="G72" s="571">
        <v>3</v>
      </c>
    </row>
    <row r="73" spans="1:7" x14ac:dyDescent="0.25">
      <c r="A73" s="986" t="s">
        <v>60</v>
      </c>
      <c r="B73" s="571"/>
      <c r="C73" s="571">
        <v>1</v>
      </c>
      <c r="D73" s="571">
        <v>1</v>
      </c>
      <c r="E73" s="571"/>
      <c r="F73" s="571">
        <v>4</v>
      </c>
      <c r="G73" s="571">
        <v>6</v>
      </c>
    </row>
    <row r="74" spans="1:7" x14ac:dyDescent="0.25">
      <c r="A74" s="986" t="s">
        <v>255</v>
      </c>
      <c r="B74" s="571">
        <v>50</v>
      </c>
      <c r="C74" s="571">
        <v>23</v>
      </c>
      <c r="D74" s="571">
        <v>1</v>
      </c>
      <c r="E74" s="571">
        <v>42</v>
      </c>
      <c r="F74" s="571">
        <v>240</v>
      </c>
      <c r="G74" s="571">
        <v>356</v>
      </c>
    </row>
    <row r="79" spans="1:7" x14ac:dyDescent="0.25">
      <c r="A79" s="570"/>
      <c r="B79" s="571"/>
      <c r="C79" s="571"/>
      <c r="D79" s="571"/>
      <c r="E79" s="571"/>
      <c r="F79" s="571"/>
    </row>
    <row r="80" spans="1:7" x14ac:dyDescent="0.25">
      <c r="A80" s="570"/>
      <c r="B80" s="571"/>
      <c r="C80" s="571"/>
      <c r="D80" s="571"/>
      <c r="E80" s="571"/>
      <c r="F80" s="571"/>
    </row>
    <row r="81" spans="1:6" x14ac:dyDescent="0.25">
      <c r="A81" s="570"/>
      <c r="B81" s="571"/>
      <c r="C81" s="571"/>
      <c r="D81" s="571"/>
      <c r="E81" s="571"/>
      <c r="F81" s="571"/>
    </row>
    <row r="82" spans="1:6" x14ac:dyDescent="0.25">
      <c r="A82" s="570"/>
      <c r="B82" s="571"/>
      <c r="C82" s="571"/>
      <c r="D82" s="571"/>
      <c r="E82" s="571"/>
      <c r="F82" s="571"/>
    </row>
    <row r="83" spans="1:6" x14ac:dyDescent="0.25">
      <c r="A83" s="570"/>
      <c r="B83" s="571"/>
      <c r="C83" s="571"/>
      <c r="D83" s="571"/>
      <c r="E83" s="571"/>
      <c r="F83" s="571"/>
    </row>
    <row r="84" spans="1:6" x14ac:dyDescent="0.25">
      <c r="A84" s="570"/>
      <c r="B84" s="571"/>
      <c r="C84" s="571"/>
      <c r="D84" s="571"/>
      <c r="E84" s="571"/>
      <c r="F84" s="571"/>
    </row>
    <row r="85" spans="1:6" x14ac:dyDescent="0.25">
      <c r="A85" s="570"/>
      <c r="B85" s="571"/>
      <c r="C85" s="571"/>
      <c r="D85" s="571"/>
      <c r="E85" s="571"/>
      <c r="F85" s="571"/>
    </row>
    <row r="86" spans="1:6" x14ac:dyDescent="0.25">
      <c r="A86" s="570"/>
      <c r="B86" s="571"/>
      <c r="C86" s="571"/>
      <c r="D86" s="571"/>
      <c r="E86" s="571"/>
      <c r="F86" s="571"/>
    </row>
    <row r="87" spans="1:6" x14ac:dyDescent="0.25">
      <c r="A87" s="570"/>
      <c r="B87" s="571"/>
      <c r="C87" s="571"/>
      <c r="D87" s="571"/>
      <c r="E87" s="571"/>
      <c r="F87" s="571"/>
    </row>
    <row r="88" spans="1:6" x14ac:dyDescent="0.25">
      <c r="A88" s="570"/>
      <c r="B88" s="571"/>
      <c r="C88" s="571"/>
      <c r="D88" s="571"/>
      <c r="E88" s="571"/>
      <c r="F88" s="571"/>
    </row>
    <row r="89" spans="1:6" x14ac:dyDescent="0.25">
      <c r="A89" s="570"/>
      <c r="B89" s="571"/>
      <c r="C89" s="571"/>
      <c r="D89" s="571"/>
      <c r="E89" s="571"/>
      <c r="F89" s="571"/>
    </row>
    <row r="90" spans="1:6" x14ac:dyDescent="0.25">
      <c r="A90" s="570"/>
      <c r="B90" s="571"/>
      <c r="C90" s="571"/>
      <c r="D90" s="571"/>
      <c r="E90" s="571"/>
      <c r="F90" s="571"/>
    </row>
    <row r="91" spans="1:6" x14ac:dyDescent="0.25">
      <c r="A91" s="570"/>
      <c r="B91" s="571"/>
      <c r="C91" s="571"/>
      <c r="D91" s="571"/>
      <c r="E91" s="571"/>
      <c r="F91" s="571"/>
    </row>
    <row r="92" spans="1:6" x14ac:dyDescent="0.25">
      <c r="A92" s="570"/>
      <c r="B92" s="571"/>
      <c r="C92" s="571"/>
      <c r="D92" s="571"/>
      <c r="E92" s="571"/>
      <c r="F92" s="571"/>
    </row>
    <row r="93" spans="1:6" x14ac:dyDescent="0.25">
      <c r="A93" s="570"/>
      <c r="B93" s="571"/>
      <c r="C93" s="571"/>
      <c r="D93" s="571"/>
      <c r="E93" s="571"/>
      <c r="F93" s="571"/>
    </row>
    <row r="94" spans="1:6" x14ac:dyDescent="0.25">
      <c r="A94" s="570"/>
      <c r="B94" s="571"/>
      <c r="C94" s="571"/>
      <c r="D94" s="571"/>
      <c r="E94" s="571"/>
      <c r="F94" s="571"/>
    </row>
    <row r="95" spans="1:6" x14ac:dyDescent="0.25">
      <c r="A95" s="570"/>
      <c r="B95" s="571"/>
      <c r="C95" s="571"/>
      <c r="D95" s="571"/>
      <c r="E95" s="571"/>
      <c r="F95" s="571"/>
    </row>
    <row r="96" spans="1:6" x14ac:dyDescent="0.25">
      <c r="A96" s="570"/>
      <c r="B96" s="571"/>
      <c r="C96" s="571"/>
      <c r="D96" s="571"/>
      <c r="E96" s="571"/>
      <c r="F96" s="571"/>
    </row>
    <row r="97" spans="1:6" x14ac:dyDescent="0.25">
      <c r="A97" s="570"/>
      <c r="B97" s="571"/>
      <c r="C97" s="571"/>
      <c r="D97" s="571"/>
      <c r="E97" s="571"/>
      <c r="F97" s="571"/>
    </row>
    <row r="98" spans="1:6" x14ac:dyDescent="0.25">
      <c r="A98" s="570"/>
      <c r="B98" s="571"/>
      <c r="C98" s="571"/>
      <c r="D98" s="571"/>
      <c r="E98" s="571"/>
      <c r="F98" s="571"/>
    </row>
    <row r="99" spans="1:6" x14ac:dyDescent="0.25">
      <c r="A99" s="570"/>
      <c r="B99" s="571"/>
      <c r="C99" s="571"/>
      <c r="D99" s="571"/>
      <c r="E99" s="571"/>
      <c r="F99" s="571"/>
    </row>
    <row r="100" spans="1:6" x14ac:dyDescent="0.25">
      <c r="A100" s="570"/>
      <c r="B100" s="571"/>
      <c r="C100" s="571"/>
      <c r="D100" s="571"/>
      <c r="E100" s="571"/>
      <c r="F100" s="571"/>
    </row>
    <row r="101" spans="1:6" x14ac:dyDescent="0.25">
      <c r="A101" s="570"/>
      <c r="B101" s="571"/>
      <c r="C101" s="571"/>
      <c r="D101" s="571"/>
      <c r="E101" s="571"/>
      <c r="F101" s="571"/>
    </row>
    <row r="102" spans="1:6" x14ac:dyDescent="0.25">
      <c r="A102" s="570"/>
      <c r="B102" s="571"/>
      <c r="C102" s="571"/>
      <c r="D102" s="571"/>
      <c r="E102" s="571"/>
      <c r="F102" s="571"/>
    </row>
    <row r="103" spans="1:6" x14ac:dyDescent="0.25">
      <c r="A103" s="570"/>
      <c r="B103" s="571"/>
      <c r="C103" s="571"/>
      <c r="D103" s="571"/>
      <c r="E103" s="571"/>
      <c r="F103" s="571"/>
    </row>
    <row r="104" spans="1:6" x14ac:dyDescent="0.25">
      <c r="A104" s="570"/>
      <c r="B104" s="571"/>
      <c r="C104" s="571"/>
      <c r="D104" s="571"/>
      <c r="E104" s="571"/>
      <c r="F104" s="571"/>
    </row>
    <row r="105" spans="1:6" x14ac:dyDescent="0.25">
      <c r="A105" s="570"/>
      <c r="B105" s="571"/>
      <c r="C105" s="571"/>
      <c r="D105" s="571"/>
      <c r="E105" s="571"/>
      <c r="F105" s="571"/>
    </row>
    <row r="106" spans="1:6" x14ac:dyDescent="0.25">
      <c r="A106" s="570"/>
      <c r="B106" s="571"/>
      <c r="C106" s="571"/>
      <c r="D106" s="571"/>
      <c r="E106" s="571"/>
      <c r="F106" s="571"/>
    </row>
    <row r="107" spans="1:6" x14ac:dyDescent="0.25">
      <c r="A107" s="570"/>
      <c r="B107" s="571"/>
      <c r="C107" s="571"/>
      <c r="D107" s="571"/>
      <c r="E107" s="571"/>
      <c r="F107" s="571"/>
    </row>
    <row r="108" spans="1:6" x14ac:dyDescent="0.25">
      <c r="A108" s="570"/>
      <c r="B108" s="571"/>
      <c r="C108" s="571"/>
      <c r="D108" s="571"/>
      <c r="E108" s="571"/>
      <c r="F108" s="571"/>
    </row>
    <row r="109" spans="1:6" x14ac:dyDescent="0.25">
      <c r="A109" s="570"/>
      <c r="B109" s="571"/>
      <c r="C109" s="571"/>
      <c r="D109" s="571"/>
      <c r="E109" s="571"/>
      <c r="F109" s="571"/>
    </row>
    <row r="110" spans="1:6" x14ac:dyDescent="0.25">
      <c r="A110" s="570"/>
      <c r="B110" s="571"/>
      <c r="C110" s="571"/>
      <c r="D110" s="571"/>
      <c r="E110" s="571"/>
      <c r="F110" s="571"/>
    </row>
    <row r="111" spans="1:6" x14ac:dyDescent="0.25">
      <c r="A111" s="570"/>
      <c r="B111" s="571"/>
      <c r="C111" s="571"/>
      <c r="D111" s="571"/>
      <c r="E111" s="571"/>
      <c r="F111" s="571"/>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tint="0.39997558519241921"/>
    <pageSetUpPr fitToPage="1"/>
  </sheetPr>
  <dimension ref="A1:AE54"/>
  <sheetViews>
    <sheetView showGridLines="0" zoomScaleNormal="100" workbookViewId="0">
      <pane ySplit="2" topLeftCell="A3" activePane="bottomLeft" state="frozen"/>
      <selection sqref="A1:C1"/>
      <selection pane="bottomLeft" sqref="A1:C1"/>
    </sheetView>
  </sheetViews>
  <sheetFormatPr defaultRowHeight="15" x14ac:dyDescent="0.25"/>
  <cols>
    <col min="1" max="1" width="17.5703125" customWidth="1"/>
    <col min="2" max="2" width="13.7109375" bestFit="1" customWidth="1"/>
    <col min="3" max="3" width="11.28515625" customWidth="1"/>
    <col min="4" max="4" width="13.28515625" customWidth="1"/>
    <col min="5" max="5" width="11.28515625" customWidth="1"/>
    <col min="6" max="6" width="13.7109375" bestFit="1" customWidth="1"/>
    <col min="7" max="7" width="11.28515625" customWidth="1"/>
    <col min="8" max="8" width="13.7109375" bestFit="1" customWidth="1"/>
    <col min="9" max="9" width="11.28515625" customWidth="1"/>
    <col min="10" max="10" width="13.7109375" bestFit="1" customWidth="1"/>
    <col min="11" max="11" width="11.28515625" customWidth="1"/>
  </cols>
  <sheetData>
    <row r="1" spans="1:11" ht="15.75" customHeight="1" x14ac:dyDescent="0.25">
      <c r="A1" s="822" t="s">
        <v>616</v>
      </c>
      <c r="B1" s="822"/>
      <c r="C1" s="822"/>
    </row>
    <row r="2" spans="1:11" ht="15.75" x14ac:dyDescent="0.25">
      <c r="A2" s="790" t="s">
        <v>598</v>
      </c>
      <c r="B2" s="792"/>
      <c r="C2" s="792"/>
    </row>
    <row r="4" spans="1:11" x14ac:dyDescent="0.25">
      <c r="A4" s="31"/>
      <c r="B4" s="31"/>
      <c r="C4" s="31"/>
      <c r="D4" s="31"/>
      <c r="E4" s="31"/>
      <c r="F4" s="31"/>
      <c r="G4" s="31"/>
      <c r="H4" s="31"/>
      <c r="I4" s="31"/>
      <c r="J4" s="31"/>
      <c r="K4" s="31"/>
    </row>
    <row r="5" spans="1:11" ht="15.75" customHeight="1" x14ac:dyDescent="0.25">
      <c r="A5" s="1024" t="s">
        <v>688</v>
      </c>
      <c r="B5" s="1024"/>
      <c r="C5" s="1024"/>
      <c r="D5" s="1024"/>
      <c r="E5" s="1024"/>
      <c r="F5" s="1024"/>
      <c r="G5" s="1024"/>
      <c r="H5" s="1024"/>
      <c r="I5" s="1024"/>
      <c r="J5" s="1024"/>
      <c r="K5" s="1024"/>
    </row>
    <row r="6" spans="1:11" ht="15.75" customHeight="1" x14ac:dyDescent="0.25">
      <c r="A6" t="s">
        <v>368</v>
      </c>
      <c r="B6" t="s">
        <v>763</v>
      </c>
      <c r="C6" s="796"/>
      <c r="D6" s="796"/>
      <c r="E6" s="796"/>
      <c r="F6" s="796"/>
      <c r="G6" s="796"/>
      <c r="H6" s="796"/>
      <c r="I6" s="796"/>
      <c r="J6" s="796"/>
      <c r="K6" s="796"/>
    </row>
    <row r="7" spans="1:11" ht="15.75" customHeight="1" x14ac:dyDescent="0.25">
      <c r="A7" t="s">
        <v>369</v>
      </c>
      <c r="B7" t="s">
        <v>371</v>
      </c>
      <c r="C7" s="796"/>
      <c r="D7" s="796"/>
      <c r="E7" s="796"/>
      <c r="F7" s="796"/>
      <c r="G7" s="796"/>
      <c r="H7" s="796"/>
      <c r="I7" s="796"/>
      <c r="J7" s="796"/>
      <c r="K7" s="796"/>
    </row>
    <row r="8" spans="1:11" ht="15.75" customHeight="1" x14ac:dyDescent="0.25">
      <c r="A8" t="s">
        <v>370</v>
      </c>
      <c r="B8" t="s">
        <v>623</v>
      </c>
      <c r="C8" s="796"/>
      <c r="D8" s="796"/>
      <c r="E8" s="796"/>
      <c r="F8" s="796"/>
      <c r="G8" s="796"/>
      <c r="H8" s="796"/>
      <c r="I8" s="796"/>
      <c r="J8" s="796"/>
      <c r="K8" s="796"/>
    </row>
    <row r="9" spans="1:11" x14ac:dyDescent="0.25">
      <c r="A9" s="28"/>
      <c r="B9" s="1025" t="s">
        <v>128</v>
      </c>
      <c r="C9" s="1025"/>
      <c r="D9" s="1025"/>
      <c r="E9" s="1025"/>
      <c r="F9" s="1025"/>
      <c r="G9" s="1025"/>
      <c r="H9" s="1025"/>
      <c r="I9" s="1025"/>
      <c r="J9" s="16"/>
    </row>
    <row r="10" spans="1:11" ht="27.75" customHeight="1" x14ac:dyDescent="0.25">
      <c r="A10" s="42"/>
      <c r="B10" s="1026" t="s">
        <v>617</v>
      </c>
      <c r="C10" s="1027"/>
      <c r="D10" s="1028" t="s">
        <v>618</v>
      </c>
      <c r="E10" s="1029"/>
      <c r="F10" s="1028" t="s">
        <v>619</v>
      </c>
      <c r="G10" s="1029"/>
      <c r="H10" s="1028" t="s">
        <v>620</v>
      </c>
      <c r="I10" s="1029"/>
      <c r="J10" s="1030" t="s">
        <v>129</v>
      </c>
      <c r="K10" s="1031"/>
    </row>
    <row r="11" spans="1:11" ht="39" x14ac:dyDescent="0.25">
      <c r="A11" s="2" t="s">
        <v>1</v>
      </c>
      <c r="B11" s="823" t="s">
        <v>621</v>
      </c>
      <c r="C11" s="828" t="s">
        <v>622</v>
      </c>
      <c r="D11" s="823" t="s">
        <v>621</v>
      </c>
      <c r="E11" s="828" t="s">
        <v>622</v>
      </c>
      <c r="F11" s="823" t="s">
        <v>621</v>
      </c>
      <c r="G11" s="828" t="s">
        <v>622</v>
      </c>
      <c r="H11" s="823" t="s">
        <v>621</v>
      </c>
      <c r="I11" s="828" t="s">
        <v>622</v>
      </c>
      <c r="J11" s="823" t="s">
        <v>621</v>
      </c>
      <c r="K11" s="828" t="s">
        <v>622</v>
      </c>
    </row>
    <row r="12" spans="1:11" x14ac:dyDescent="0.25">
      <c r="A12" s="5" t="str">
        <f>'h15'!$A12</f>
        <v>2015-16</v>
      </c>
      <c r="B12" s="829">
        <f>'h15'!$Q12</f>
        <v>39</v>
      </c>
      <c r="C12" s="830">
        <f>'h15'!G28</f>
        <v>0</v>
      </c>
      <c r="D12" s="829">
        <f>'h15'!$R12</f>
        <v>13</v>
      </c>
      <c r="E12" s="830">
        <f>'h15'!$H28</f>
        <v>2</v>
      </c>
      <c r="F12" s="829">
        <f>'h15'!$S12</f>
        <v>37</v>
      </c>
      <c r="G12" s="830">
        <f>'h15'!$I28</f>
        <v>0</v>
      </c>
      <c r="H12" s="829">
        <f>'h15'!$T12</f>
        <v>1</v>
      </c>
      <c r="I12" s="830">
        <f>'h15'!$J28</f>
        <v>0</v>
      </c>
      <c r="J12" s="824">
        <f t="shared" ref="J12:K15" si="0">B12+D12+F12+H12</f>
        <v>90</v>
      </c>
      <c r="K12" s="825">
        <f t="shared" si="0"/>
        <v>2</v>
      </c>
    </row>
    <row r="13" spans="1:11" x14ac:dyDescent="0.25">
      <c r="A13" s="5" t="str">
        <f>'h15'!$A13</f>
        <v>2016-17</v>
      </c>
      <c r="B13" s="829">
        <f>'h15'!$Q13</f>
        <v>44</v>
      </c>
      <c r="C13" s="830">
        <f>'h15'!G29</f>
        <v>2</v>
      </c>
      <c r="D13" s="829">
        <f>'h15'!$R13</f>
        <v>10</v>
      </c>
      <c r="E13" s="830">
        <f>'h15'!$H29</f>
        <v>3</v>
      </c>
      <c r="F13" s="829">
        <f>'h15'!$S13</f>
        <v>22</v>
      </c>
      <c r="G13" s="830">
        <f>'h15'!$I29</f>
        <v>0</v>
      </c>
      <c r="H13" s="829">
        <f>'h15'!$T13</f>
        <v>2</v>
      </c>
      <c r="I13" s="830">
        <f>'h15'!$J29</f>
        <v>0</v>
      </c>
      <c r="J13" s="824">
        <f t="shared" si="0"/>
        <v>78</v>
      </c>
      <c r="K13" s="825">
        <f t="shared" si="0"/>
        <v>5</v>
      </c>
    </row>
    <row r="14" spans="1:11" x14ac:dyDescent="0.25">
      <c r="A14" s="5" t="str">
        <f>'h15'!$A14</f>
        <v>2017-18</v>
      </c>
      <c r="B14" s="831">
        <f>'h15'!$Q14</f>
        <v>32</v>
      </c>
      <c r="C14" s="832">
        <f>'h15'!G30</f>
        <v>3</v>
      </c>
      <c r="D14" s="831">
        <f>'h15'!$R14</f>
        <v>9</v>
      </c>
      <c r="E14" s="832">
        <f>'h15'!$H30</f>
        <v>4</v>
      </c>
      <c r="F14" s="831">
        <f>'h15'!$S14</f>
        <v>12</v>
      </c>
      <c r="G14" s="832">
        <f>'h15'!$I30</f>
        <v>0</v>
      </c>
      <c r="H14" s="831">
        <f>'h15'!$T14</f>
        <v>0</v>
      </c>
      <c r="I14" s="832">
        <f>'h15'!$J30</f>
        <v>0</v>
      </c>
      <c r="J14" s="824">
        <f t="shared" si="0"/>
        <v>53</v>
      </c>
      <c r="K14" s="825">
        <f t="shared" si="0"/>
        <v>7</v>
      </c>
    </row>
    <row r="15" spans="1:11" x14ac:dyDescent="0.25">
      <c r="A15" s="475" t="str">
        <f>'h15'!$A15</f>
        <v>2018-19</v>
      </c>
      <c r="B15" s="833">
        <f>'h15'!$Q15</f>
        <v>48</v>
      </c>
      <c r="C15" s="834">
        <f>'h15'!G31</f>
        <v>1</v>
      </c>
      <c r="D15" s="833">
        <f>'h15'!$R15</f>
        <v>8</v>
      </c>
      <c r="E15" s="834">
        <f>'h15'!$H31</f>
        <v>0</v>
      </c>
      <c r="F15" s="833">
        <f>'h15'!$S15</f>
        <v>15</v>
      </c>
      <c r="G15" s="834">
        <f>'h15'!$I31</f>
        <v>0</v>
      </c>
      <c r="H15" s="833">
        <f>'h15'!$T15</f>
        <v>1</v>
      </c>
      <c r="I15" s="834">
        <f>'h15'!$J31</f>
        <v>0</v>
      </c>
      <c r="J15" s="826">
        <f t="shared" si="0"/>
        <v>72</v>
      </c>
      <c r="K15" s="827">
        <f t="shared" si="0"/>
        <v>1</v>
      </c>
    </row>
    <row r="16" spans="1:11" x14ac:dyDescent="0.25">
      <c r="A16" s="6"/>
      <c r="B16" s="272"/>
      <c r="K16" s="271"/>
    </row>
    <row r="17" spans="1:31" x14ac:dyDescent="0.25">
      <c r="A17" s="526" t="s">
        <v>8</v>
      </c>
      <c r="B17" s="527"/>
      <c r="C17" s="527"/>
      <c r="D17" s="527"/>
      <c r="E17" s="527"/>
      <c r="F17" s="527"/>
      <c r="G17" s="527"/>
      <c r="H17" s="527"/>
      <c r="I17" s="527"/>
    </row>
    <row r="18" spans="1:31" ht="30.75" customHeight="1" x14ac:dyDescent="0.25">
      <c r="A18" s="1023" t="s">
        <v>847</v>
      </c>
      <c r="B18" s="1023"/>
      <c r="C18" s="1023"/>
      <c r="D18" s="1023"/>
      <c r="E18" s="1023"/>
      <c r="F18" s="1023"/>
      <c r="G18" s="1023"/>
      <c r="H18" s="1023"/>
      <c r="I18" s="1023"/>
      <c r="J18" s="1023"/>
      <c r="K18" s="1023"/>
    </row>
    <row r="19" spans="1:31" x14ac:dyDescent="0.25">
      <c r="A19" s="525"/>
      <c r="B19" s="28"/>
      <c r="C19" s="28"/>
      <c r="D19" s="28"/>
      <c r="E19" s="28"/>
      <c r="F19" s="28"/>
      <c r="G19" s="28"/>
      <c r="H19" s="28"/>
      <c r="I19" s="28"/>
      <c r="J19" s="28"/>
      <c r="K19" s="28"/>
      <c r="T19" s="546"/>
      <c r="X19" s="546"/>
      <c r="AA19" s="546"/>
      <c r="AB19" s="546"/>
      <c r="AC19" s="546"/>
      <c r="AD19" s="546"/>
      <c r="AE19" s="546"/>
    </row>
    <row r="20" spans="1:31" x14ac:dyDescent="0.25">
      <c r="A20" s="28"/>
      <c r="B20" s="28"/>
      <c r="C20" s="28"/>
      <c r="D20" s="28"/>
      <c r="E20" s="28"/>
      <c r="F20" s="28"/>
      <c r="G20" s="28"/>
      <c r="H20" s="28"/>
      <c r="I20" s="28"/>
      <c r="J20" s="28"/>
      <c r="K20" s="28"/>
      <c r="T20" s="546"/>
      <c r="X20" s="546"/>
      <c r="AA20" s="546"/>
      <c r="AB20" s="546"/>
      <c r="AC20" s="546"/>
      <c r="AD20" s="546"/>
      <c r="AE20" s="546"/>
    </row>
    <row r="21" spans="1:31" ht="15.75" customHeight="1" x14ac:dyDescent="0.25">
      <c r="A21" s="1024" t="s">
        <v>689</v>
      </c>
      <c r="B21" s="1024"/>
      <c r="C21" s="1024"/>
      <c r="D21" s="1024"/>
      <c r="E21" s="1024"/>
      <c r="F21" s="1024"/>
      <c r="G21" s="1024"/>
      <c r="H21" s="1024"/>
      <c r="I21" s="1024"/>
      <c r="J21" s="1024"/>
      <c r="K21" s="1024"/>
      <c r="T21" s="546"/>
      <c r="X21" s="546"/>
      <c r="AA21" s="546"/>
      <c r="AB21" s="546"/>
      <c r="AC21" s="546"/>
      <c r="AD21" s="546"/>
      <c r="AE21" s="546"/>
    </row>
    <row r="22" spans="1:31" ht="15.75" customHeight="1" x14ac:dyDescent="0.25">
      <c r="A22" t="s">
        <v>368</v>
      </c>
      <c r="B22" t="s">
        <v>764</v>
      </c>
      <c r="C22" s="796"/>
      <c r="D22" s="796"/>
      <c r="E22" s="796"/>
      <c r="F22" s="796"/>
      <c r="G22" s="796"/>
      <c r="H22" s="796"/>
      <c r="I22" s="796"/>
      <c r="J22" s="796"/>
      <c r="K22" s="796"/>
      <c r="T22" s="546"/>
      <c r="X22" s="546"/>
      <c r="AA22" s="546"/>
      <c r="AB22" s="546"/>
      <c r="AC22" s="546"/>
      <c r="AD22" s="546"/>
      <c r="AE22" s="546"/>
    </row>
    <row r="23" spans="1:31" ht="15.75" customHeight="1" x14ac:dyDescent="0.25">
      <c r="A23" t="s">
        <v>369</v>
      </c>
      <c r="B23" t="s">
        <v>371</v>
      </c>
      <c r="C23" s="796"/>
      <c r="D23" s="796"/>
      <c r="E23" s="796"/>
      <c r="F23" s="796"/>
      <c r="G23" s="796"/>
      <c r="H23" s="796"/>
      <c r="I23" s="796"/>
      <c r="J23" s="796"/>
      <c r="K23" s="796"/>
      <c r="T23" s="546"/>
      <c r="X23" s="546"/>
      <c r="AA23" s="546"/>
      <c r="AB23" s="546"/>
      <c r="AC23" s="546"/>
      <c r="AD23" s="546"/>
      <c r="AE23" s="546"/>
    </row>
    <row r="24" spans="1:31" ht="15.75" customHeight="1" x14ac:dyDescent="0.25">
      <c r="A24" t="s">
        <v>370</v>
      </c>
      <c r="B24" t="s">
        <v>623</v>
      </c>
      <c r="C24" s="796"/>
      <c r="D24" s="796"/>
      <c r="E24" s="796"/>
      <c r="F24" s="796"/>
      <c r="G24" s="796"/>
      <c r="H24" s="796"/>
      <c r="I24" s="796"/>
      <c r="J24" s="796"/>
      <c r="K24" s="796"/>
      <c r="T24" s="546"/>
      <c r="X24" s="546"/>
      <c r="AA24" s="546"/>
      <c r="AB24" s="546"/>
      <c r="AC24" s="546"/>
      <c r="AD24" s="546"/>
      <c r="AE24" s="546"/>
    </row>
    <row r="25" spans="1:31" ht="15.75" x14ac:dyDescent="0.25">
      <c r="A25" s="314"/>
      <c r="B25" s="1033" t="s">
        <v>128</v>
      </c>
      <c r="C25" s="1033"/>
      <c r="D25" s="1033"/>
      <c r="E25" s="1033"/>
      <c r="F25" s="1033"/>
      <c r="G25" s="1033"/>
      <c r="H25" s="1033"/>
      <c r="I25" s="1033"/>
      <c r="J25" s="835"/>
      <c r="K25" s="24"/>
      <c r="T25" s="25"/>
      <c r="X25" s="546"/>
      <c r="AA25" s="546"/>
      <c r="AB25" s="546"/>
      <c r="AC25" s="546"/>
      <c r="AD25" s="546"/>
      <c r="AE25" s="546"/>
    </row>
    <row r="26" spans="1:31" ht="30" customHeight="1" x14ac:dyDescent="0.25">
      <c r="A26" s="42"/>
      <c r="B26" s="1026" t="s">
        <v>617</v>
      </c>
      <c r="C26" s="1027"/>
      <c r="D26" s="1028" t="s">
        <v>618</v>
      </c>
      <c r="E26" s="1029"/>
      <c r="F26" s="1028" t="s">
        <v>619</v>
      </c>
      <c r="G26" s="1029"/>
      <c r="H26" s="1028" t="s">
        <v>620</v>
      </c>
      <c r="I26" s="1029"/>
      <c r="J26" s="1030" t="s">
        <v>129</v>
      </c>
      <c r="K26" s="1031"/>
      <c r="T26" s="546"/>
    </row>
    <row r="27" spans="1:31" ht="39" x14ac:dyDescent="0.25">
      <c r="A27" s="2" t="s">
        <v>1</v>
      </c>
      <c r="B27" s="823" t="s">
        <v>621</v>
      </c>
      <c r="C27" s="828" t="s">
        <v>622</v>
      </c>
      <c r="D27" s="823" t="s">
        <v>621</v>
      </c>
      <c r="E27" s="828" t="s">
        <v>622</v>
      </c>
      <c r="F27" s="823" t="s">
        <v>621</v>
      </c>
      <c r="G27" s="828" t="s">
        <v>622</v>
      </c>
      <c r="H27" s="823" t="s">
        <v>621</v>
      </c>
      <c r="I27" s="828" t="s">
        <v>622</v>
      </c>
      <c r="J27" s="823" t="s">
        <v>621</v>
      </c>
      <c r="K27" s="828" t="s">
        <v>622</v>
      </c>
      <c r="T27" s="546"/>
    </row>
    <row r="28" spans="1:31" x14ac:dyDescent="0.25">
      <c r="A28" s="842" t="str">
        <f>'h15'!$A12</f>
        <v>2015-16</v>
      </c>
      <c r="B28" s="836">
        <f>'h15'!$B12</f>
        <v>3</v>
      </c>
      <c r="C28" s="837">
        <f>'h15'!$B28</f>
        <v>0</v>
      </c>
      <c r="D28" s="836">
        <f>'h15'!$C12</f>
        <v>0</v>
      </c>
      <c r="E28" s="837">
        <f>'h15'!$C28</f>
        <v>0</v>
      </c>
      <c r="F28" s="836">
        <f>'h15'!$D12</f>
        <v>6</v>
      </c>
      <c r="G28" s="837">
        <f>'h15'!$D28</f>
        <v>0</v>
      </c>
      <c r="H28" s="836">
        <f>'h15'!$E12</f>
        <v>0</v>
      </c>
      <c r="I28" s="837">
        <f>'h15'!$E28</f>
        <v>0</v>
      </c>
      <c r="J28" s="845">
        <f t="shared" ref="J28:K31" si="1">H28+F28+D28+B28</f>
        <v>9</v>
      </c>
      <c r="K28" s="837">
        <f t="shared" si="1"/>
        <v>0</v>
      </c>
      <c r="T28" s="546"/>
    </row>
    <row r="29" spans="1:31" x14ac:dyDescent="0.25">
      <c r="A29" s="843" t="str">
        <f>'h15'!$A13</f>
        <v>2016-17</v>
      </c>
      <c r="B29" s="838">
        <f>'h15'!$B13</f>
        <v>2</v>
      </c>
      <c r="C29" s="839">
        <f>'h15'!$B29</f>
        <v>0</v>
      </c>
      <c r="D29" s="838">
        <f>'h15'!$C13</f>
        <v>0</v>
      </c>
      <c r="E29" s="839">
        <f>'h15'!$C29</f>
        <v>0</v>
      </c>
      <c r="F29" s="838">
        <f>'h15'!$D13</f>
        <v>3</v>
      </c>
      <c r="G29" s="839">
        <f>'h15'!$D29</f>
        <v>0</v>
      </c>
      <c r="H29" s="838">
        <f>'h15'!$E13</f>
        <v>0</v>
      </c>
      <c r="I29" s="839">
        <f>'h15'!$E29</f>
        <v>0</v>
      </c>
      <c r="J29" s="846">
        <f t="shared" si="1"/>
        <v>5</v>
      </c>
      <c r="K29" s="839">
        <f t="shared" si="1"/>
        <v>0</v>
      </c>
      <c r="T29" s="546"/>
    </row>
    <row r="30" spans="1:31" x14ac:dyDescent="0.25">
      <c r="A30" s="843" t="str">
        <f>'h15'!$A14</f>
        <v>2017-18</v>
      </c>
      <c r="B30" s="838">
        <f>'h15'!$B14</f>
        <v>3</v>
      </c>
      <c r="C30" s="839">
        <f>'h15'!$B30</f>
        <v>0</v>
      </c>
      <c r="D30" s="838">
        <f>'h15'!$C14</f>
        <v>2</v>
      </c>
      <c r="E30" s="839">
        <f>'h15'!$C30</f>
        <v>0</v>
      </c>
      <c r="F30" s="838">
        <f>'h15'!$D14</f>
        <v>3</v>
      </c>
      <c r="G30" s="839">
        <f>'h15'!$D30</f>
        <v>0</v>
      </c>
      <c r="H30" s="838">
        <f>'h15'!$E14</f>
        <v>0</v>
      </c>
      <c r="I30" s="839">
        <f>'h15'!$E30</f>
        <v>0</v>
      </c>
      <c r="J30" s="846">
        <f t="shared" si="1"/>
        <v>8</v>
      </c>
      <c r="K30" s="839">
        <f t="shared" si="1"/>
        <v>0</v>
      </c>
      <c r="T30" s="546"/>
    </row>
    <row r="31" spans="1:31" x14ac:dyDescent="0.25">
      <c r="A31" s="844" t="str">
        <f>'h15'!$A15</f>
        <v>2018-19</v>
      </c>
      <c r="B31" s="840">
        <f>'h15'!$B15</f>
        <v>2</v>
      </c>
      <c r="C31" s="841">
        <f>'h15'!$B31</f>
        <v>0</v>
      </c>
      <c r="D31" s="840">
        <f>'h15'!$C15</f>
        <v>2</v>
      </c>
      <c r="E31" s="841">
        <f>'h15'!$C31</f>
        <v>2</v>
      </c>
      <c r="F31" s="840">
        <f>'h15'!$D15</f>
        <v>6</v>
      </c>
      <c r="G31" s="841">
        <f>'h15'!$D31</f>
        <v>0</v>
      </c>
      <c r="H31" s="840">
        <f>'h15'!$E15</f>
        <v>1</v>
      </c>
      <c r="I31" s="841">
        <f>'h15'!$E31</f>
        <v>0</v>
      </c>
      <c r="J31" s="847">
        <f t="shared" si="1"/>
        <v>11</v>
      </c>
      <c r="K31" s="841">
        <f t="shared" si="1"/>
        <v>2</v>
      </c>
      <c r="T31" s="546"/>
    </row>
    <row r="32" spans="1:31" x14ac:dyDescent="0.25">
      <c r="A32" s="6"/>
      <c r="B32" s="469"/>
      <c r="C32" s="272"/>
      <c r="D32" s="272"/>
      <c r="E32" s="272"/>
      <c r="F32" s="272"/>
      <c r="G32" s="272"/>
      <c r="H32" s="272"/>
      <c r="I32" s="272"/>
      <c r="J32" s="271"/>
      <c r="K32" s="469"/>
      <c r="T32" s="546"/>
    </row>
    <row r="33" spans="1:20" x14ac:dyDescent="0.25">
      <c r="A33" s="526" t="s">
        <v>8</v>
      </c>
      <c r="B33" s="529"/>
      <c r="C33" s="529"/>
      <c r="D33" s="529"/>
      <c r="E33" s="529"/>
      <c r="F33" s="529"/>
      <c r="G33" s="529"/>
      <c r="H33" s="529"/>
      <c r="I33" s="529"/>
      <c r="J33" s="530"/>
      <c r="K33" s="529"/>
      <c r="T33" s="546"/>
    </row>
    <row r="34" spans="1:20" ht="30" customHeight="1" x14ac:dyDescent="0.25">
      <c r="A34" s="1023" t="s">
        <v>848</v>
      </c>
      <c r="B34" s="1023"/>
      <c r="C34" s="1023"/>
      <c r="D34" s="1023"/>
      <c r="E34" s="1023"/>
      <c r="F34" s="1023"/>
      <c r="G34" s="1023"/>
      <c r="H34" s="1023"/>
      <c r="I34" s="1023"/>
      <c r="J34" s="1023"/>
      <c r="K34" s="1023"/>
      <c r="T34" s="546"/>
    </row>
    <row r="35" spans="1:20" ht="30" customHeight="1" x14ac:dyDescent="0.25">
      <c r="A35" s="1032"/>
      <c r="B35" s="1032"/>
      <c r="C35" s="1032"/>
      <c r="D35" s="1032"/>
      <c r="E35" s="1032"/>
      <c r="F35" s="1032"/>
      <c r="G35" s="1032"/>
      <c r="H35" s="1032"/>
      <c r="I35" s="1032"/>
      <c r="J35" s="1032"/>
      <c r="K35" s="1032"/>
    </row>
    <row r="36" spans="1:20" x14ac:dyDescent="0.25">
      <c r="A36" s="525"/>
      <c r="B36" s="274"/>
      <c r="C36" s="274"/>
      <c r="D36" s="274"/>
      <c r="E36" s="274"/>
      <c r="F36" s="274"/>
      <c r="G36" s="16"/>
      <c r="H36" s="16"/>
      <c r="I36" s="16"/>
      <c r="J36" s="16"/>
      <c r="K36" s="16"/>
    </row>
    <row r="51" ht="15" customHeight="1" x14ac:dyDescent="0.25"/>
    <row r="52" ht="15" customHeight="1" x14ac:dyDescent="0.25"/>
    <row r="53" ht="30" customHeight="1" x14ac:dyDescent="0.25"/>
    <row r="54" ht="45" customHeight="1" x14ac:dyDescent="0.25"/>
  </sheetData>
  <sheetProtection algorithmName="SHA-512" hashValue="pe3PHVIIr+my9Ccbhq8IP8V3AUbAL3ObZyjdPIN+/HPpoNCVwPz6kGyPu2oTzIHlEQfWdLwoocDONq2a9XLCAw==" saltValue="U4NVp+fxsdZSwMdZLrlpKQ==" spinCount="100000" sheet="1" scenarios="1"/>
  <mergeCells count="17">
    <mergeCell ref="A35:K35"/>
    <mergeCell ref="A21:K21"/>
    <mergeCell ref="B25:I25"/>
    <mergeCell ref="B26:C26"/>
    <mergeCell ref="D26:E26"/>
    <mergeCell ref="F26:G26"/>
    <mergeCell ref="H26:I26"/>
    <mergeCell ref="J26:K26"/>
    <mergeCell ref="A18:K18"/>
    <mergeCell ref="A34:K34"/>
    <mergeCell ref="A5:K5"/>
    <mergeCell ref="B9:I9"/>
    <mergeCell ref="B10:C10"/>
    <mergeCell ref="D10:E10"/>
    <mergeCell ref="F10:G10"/>
    <mergeCell ref="H10:I10"/>
    <mergeCell ref="J10:K10"/>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5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5" tint="0.39997558519241921"/>
  </sheetPr>
  <dimension ref="A4:AJ32"/>
  <sheetViews>
    <sheetView topLeftCell="A3" workbookViewId="0">
      <selection activeCell="Q33" sqref="Q33"/>
    </sheetView>
  </sheetViews>
  <sheetFormatPr defaultColWidth="7.85546875" defaultRowHeight="15" x14ac:dyDescent="0.25"/>
  <cols>
    <col min="1" max="1" width="13.140625" customWidth="1"/>
    <col min="2" max="2" width="45.140625" customWidth="1"/>
    <col min="3" max="3" width="20.7109375" customWidth="1"/>
    <col min="4" max="4" width="19.42578125" customWidth="1"/>
    <col min="5" max="5" width="29.28515625" customWidth="1"/>
    <col min="6" max="6" width="12" customWidth="1"/>
    <col min="7" max="7" width="61.140625" customWidth="1"/>
    <col min="8" max="8" width="36.7109375" customWidth="1"/>
    <col min="9" max="9" width="35.42578125" customWidth="1"/>
    <col min="10" max="10" width="45.28515625" customWidth="1"/>
    <col min="11" max="11" width="28" customWidth="1"/>
    <col min="12" max="12" width="45.140625" customWidth="1"/>
    <col min="13" max="13" width="20.7109375" customWidth="1"/>
    <col min="14" max="14" width="19.42578125" customWidth="1"/>
    <col min="15" max="15" width="29.28515625" customWidth="1"/>
    <col min="16" max="16" width="12" customWidth="1"/>
    <col min="17" max="17" width="56.5703125" customWidth="1"/>
    <col min="18" max="18" width="32.140625" customWidth="1"/>
    <col min="19" max="19" width="30.85546875" customWidth="1"/>
    <col min="20" max="20" width="40.7109375" customWidth="1"/>
    <col min="21" max="21" width="23.42578125" customWidth="1"/>
    <col min="22" max="22" width="45.140625" bestFit="1" customWidth="1"/>
    <col min="23" max="23" width="20.7109375" customWidth="1"/>
    <col min="24" max="24" width="19.42578125" bestFit="1" customWidth="1"/>
    <col min="25" max="25" width="29.28515625" bestFit="1" customWidth="1"/>
    <col min="26" max="26" width="12" bestFit="1" customWidth="1"/>
    <col min="27" max="27" width="52.140625" bestFit="1" customWidth="1"/>
    <col min="28" max="28" width="27.7109375" bestFit="1" customWidth="1"/>
    <col min="29" max="29" width="26.42578125" bestFit="1" customWidth="1"/>
    <col min="30" max="30" width="36.28515625" bestFit="1" customWidth="1"/>
    <col min="31" max="31" width="19" bestFit="1" customWidth="1"/>
    <col min="32" max="32" width="50.140625" bestFit="1" customWidth="1"/>
    <col min="33" max="33" width="25.85546875" bestFit="1" customWidth="1"/>
    <col min="34" max="34" width="24.42578125" bestFit="1" customWidth="1"/>
    <col min="35" max="35" width="34.42578125" bestFit="1" customWidth="1"/>
    <col min="36" max="36" width="17" bestFit="1" customWidth="1"/>
  </cols>
  <sheetData>
    <row r="4" spans="1:36" x14ac:dyDescent="0.25">
      <c r="B4" s="569" t="s">
        <v>276</v>
      </c>
    </row>
    <row r="5" spans="1:36" x14ac:dyDescent="0.25">
      <c r="B5" t="s">
        <v>200</v>
      </c>
      <c r="G5" t="s">
        <v>349</v>
      </c>
      <c r="H5" t="s">
        <v>355</v>
      </c>
      <c r="I5" t="s">
        <v>359</v>
      </c>
      <c r="J5" t="s">
        <v>363</v>
      </c>
      <c r="K5" t="s">
        <v>352</v>
      </c>
      <c r="L5" t="s">
        <v>216</v>
      </c>
      <c r="Q5" t="s">
        <v>350</v>
      </c>
      <c r="R5" t="s">
        <v>356</v>
      </c>
      <c r="S5" t="s">
        <v>360</v>
      </c>
      <c r="T5" t="s">
        <v>364</v>
      </c>
      <c r="U5" t="s">
        <v>353</v>
      </c>
      <c r="V5" t="s">
        <v>319</v>
      </c>
      <c r="AA5" t="s">
        <v>502</v>
      </c>
      <c r="AB5" t="s">
        <v>503</v>
      </c>
      <c r="AC5" t="s">
        <v>504</v>
      </c>
      <c r="AD5" t="s">
        <v>505</v>
      </c>
      <c r="AE5" t="s">
        <v>506</v>
      </c>
      <c r="AF5" t="s">
        <v>351</v>
      </c>
      <c r="AG5" t="s">
        <v>357</v>
      </c>
      <c r="AH5" t="s">
        <v>361</v>
      </c>
      <c r="AI5" t="s">
        <v>365</v>
      </c>
      <c r="AJ5" t="s">
        <v>354</v>
      </c>
    </row>
    <row r="6" spans="1:36" x14ac:dyDescent="0.25">
      <c r="B6" t="s">
        <v>199</v>
      </c>
      <c r="L6" t="s">
        <v>199</v>
      </c>
      <c r="V6" t="s">
        <v>319</v>
      </c>
    </row>
    <row r="7" spans="1:36" x14ac:dyDescent="0.25">
      <c r="A7" s="569" t="s">
        <v>250</v>
      </c>
      <c r="B7" t="s">
        <v>347</v>
      </c>
      <c r="C7" t="s">
        <v>358</v>
      </c>
      <c r="D7" t="s">
        <v>362</v>
      </c>
      <c r="E7" t="s">
        <v>366</v>
      </c>
      <c r="F7" t="s">
        <v>256</v>
      </c>
      <c r="L7" t="s">
        <v>347</v>
      </c>
      <c r="M7" t="s">
        <v>358</v>
      </c>
      <c r="N7" t="s">
        <v>362</v>
      </c>
      <c r="O7" t="s">
        <v>366</v>
      </c>
      <c r="P7" t="s">
        <v>256</v>
      </c>
      <c r="V7" t="s">
        <v>347</v>
      </c>
      <c r="W7" t="s">
        <v>358</v>
      </c>
      <c r="X7" t="s">
        <v>362</v>
      </c>
      <c r="Y7" t="s">
        <v>366</v>
      </c>
      <c r="Z7" t="s">
        <v>256</v>
      </c>
    </row>
    <row r="8" spans="1:36" x14ac:dyDescent="0.25">
      <c r="A8" s="986" t="s">
        <v>330</v>
      </c>
      <c r="B8" s="571"/>
      <c r="C8" s="571"/>
      <c r="D8" s="571"/>
      <c r="E8" s="571"/>
      <c r="F8" s="571"/>
      <c r="G8" s="571"/>
      <c r="H8" s="571"/>
      <c r="I8" s="571"/>
      <c r="J8" s="571"/>
      <c r="K8" s="571"/>
      <c r="L8" s="571">
        <v>49</v>
      </c>
      <c r="M8" s="571">
        <v>8</v>
      </c>
      <c r="N8" s="571">
        <v>37</v>
      </c>
      <c r="O8" s="571">
        <v>15</v>
      </c>
      <c r="P8" s="571">
        <v>109</v>
      </c>
      <c r="Q8" s="571">
        <v>49</v>
      </c>
      <c r="R8" s="571">
        <v>8</v>
      </c>
      <c r="S8" s="571">
        <v>37</v>
      </c>
      <c r="T8" s="571">
        <v>15</v>
      </c>
      <c r="U8" s="571">
        <v>109</v>
      </c>
      <c r="V8" s="571"/>
      <c r="W8" s="571"/>
      <c r="X8" s="571"/>
      <c r="Y8" s="571"/>
      <c r="Z8" s="571"/>
      <c r="AA8" s="571"/>
      <c r="AB8" s="571"/>
      <c r="AC8" s="571"/>
      <c r="AD8" s="571"/>
      <c r="AE8" s="571"/>
      <c r="AF8" s="571">
        <v>49</v>
      </c>
      <c r="AG8" s="571">
        <v>8</v>
      </c>
      <c r="AH8" s="571">
        <v>37</v>
      </c>
      <c r="AI8" s="571">
        <v>15</v>
      </c>
      <c r="AJ8" s="571">
        <v>109</v>
      </c>
    </row>
    <row r="9" spans="1:36" x14ac:dyDescent="0.25">
      <c r="A9" s="986" t="s">
        <v>208</v>
      </c>
      <c r="B9" s="571"/>
      <c r="C9" s="571"/>
      <c r="D9" s="571"/>
      <c r="E9" s="571"/>
      <c r="F9" s="571"/>
      <c r="G9" s="571"/>
      <c r="H9" s="571"/>
      <c r="I9" s="571"/>
      <c r="J9" s="571"/>
      <c r="K9" s="571"/>
      <c r="L9" s="571">
        <v>43</v>
      </c>
      <c r="M9" s="571">
        <v>5</v>
      </c>
      <c r="N9" s="571">
        <v>29</v>
      </c>
      <c r="O9" s="571">
        <v>4</v>
      </c>
      <c r="P9" s="571">
        <v>81</v>
      </c>
      <c r="Q9" s="571">
        <v>43</v>
      </c>
      <c r="R9" s="571">
        <v>5</v>
      </c>
      <c r="S9" s="571">
        <v>29</v>
      </c>
      <c r="T9" s="571">
        <v>4</v>
      </c>
      <c r="U9" s="571">
        <v>81</v>
      </c>
      <c r="V9" s="571"/>
      <c r="W9" s="571"/>
      <c r="X9" s="571"/>
      <c r="Y9" s="571"/>
      <c r="Z9" s="571"/>
      <c r="AA9" s="571"/>
      <c r="AB9" s="571"/>
      <c r="AC9" s="571"/>
      <c r="AD9" s="571"/>
      <c r="AE9" s="571"/>
      <c r="AF9" s="571">
        <v>43</v>
      </c>
      <c r="AG9" s="571">
        <v>5</v>
      </c>
      <c r="AH9" s="571">
        <v>29</v>
      </c>
      <c r="AI9" s="571">
        <v>4</v>
      </c>
      <c r="AJ9" s="571">
        <v>81</v>
      </c>
    </row>
    <row r="10" spans="1:36" x14ac:dyDescent="0.25">
      <c r="A10" s="986" t="s">
        <v>207</v>
      </c>
      <c r="B10" s="571"/>
      <c r="C10" s="571"/>
      <c r="D10" s="571"/>
      <c r="E10" s="571"/>
      <c r="F10" s="571"/>
      <c r="G10" s="571"/>
      <c r="H10" s="571"/>
      <c r="I10" s="571"/>
      <c r="J10" s="571"/>
      <c r="K10" s="571"/>
      <c r="L10" s="571">
        <v>38</v>
      </c>
      <c r="M10" s="571">
        <v>3</v>
      </c>
      <c r="N10" s="571">
        <v>20</v>
      </c>
      <c r="O10" s="571">
        <v>8</v>
      </c>
      <c r="P10" s="571">
        <v>69</v>
      </c>
      <c r="Q10" s="571">
        <v>38</v>
      </c>
      <c r="R10" s="571">
        <v>3</v>
      </c>
      <c r="S10" s="571">
        <v>20</v>
      </c>
      <c r="T10" s="571">
        <v>8</v>
      </c>
      <c r="U10" s="571">
        <v>69</v>
      </c>
      <c r="V10" s="571"/>
      <c r="W10" s="571"/>
      <c r="X10" s="571"/>
      <c r="Y10" s="571"/>
      <c r="Z10" s="571"/>
      <c r="AA10" s="571"/>
      <c r="AB10" s="571"/>
      <c r="AC10" s="571"/>
      <c r="AD10" s="571"/>
      <c r="AE10" s="571"/>
      <c r="AF10" s="571">
        <v>38</v>
      </c>
      <c r="AG10" s="571">
        <v>3</v>
      </c>
      <c r="AH10" s="571">
        <v>20</v>
      </c>
      <c r="AI10" s="571">
        <v>8</v>
      </c>
      <c r="AJ10" s="571">
        <v>69</v>
      </c>
    </row>
    <row r="11" spans="1:36" x14ac:dyDescent="0.25">
      <c r="A11" s="986" t="s">
        <v>206</v>
      </c>
      <c r="B11" s="571"/>
      <c r="C11" s="571"/>
      <c r="D11" s="571"/>
      <c r="E11" s="571"/>
      <c r="F11" s="571"/>
      <c r="G11" s="571"/>
      <c r="H11" s="571"/>
      <c r="I11" s="571"/>
      <c r="J11" s="571"/>
      <c r="K11" s="571"/>
      <c r="L11" s="571">
        <v>31</v>
      </c>
      <c r="M11" s="571">
        <v>6</v>
      </c>
      <c r="N11" s="571">
        <v>30</v>
      </c>
      <c r="O11" s="571">
        <v>8</v>
      </c>
      <c r="P11" s="571">
        <v>75</v>
      </c>
      <c r="Q11" s="571">
        <v>31</v>
      </c>
      <c r="R11" s="571">
        <v>6</v>
      </c>
      <c r="S11" s="571">
        <v>30</v>
      </c>
      <c r="T11" s="571">
        <v>8</v>
      </c>
      <c r="U11" s="571">
        <v>75</v>
      </c>
      <c r="V11" s="571"/>
      <c r="W11" s="571"/>
      <c r="X11" s="571"/>
      <c r="Y11" s="571"/>
      <c r="Z11" s="571"/>
      <c r="AA11" s="571"/>
      <c r="AB11" s="571"/>
      <c r="AC11" s="571"/>
      <c r="AD11" s="571"/>
      <c r="AE11" s="571"/>
      <c r="AF11" s="571">
        <v>31</v>
      </c>
      <c r="AG11" s="571">
        <v>6</v>
      </c>
      <c r="AH11" s="571">
        <v>30</v>
      </c>
      <c r="AI11" s="571">
        <v>8</v>
      </c>
      <c r="AJ11" s="571">
        <v>75</v>
      </c>
    </row>
    <row r="12" spans="1:36" x14ac:dyDescent="0.25">
      <c r="A12" s="986" t="s">
        <v>205</v>
      </c>
      <c r="B12" s="571">
        <v>3</v>
      </c>
      <c r="C12" s="571"/>
      <c r="D12" s="571">
        <v>6</v>
      </c>
      <c r="E12" s="571"/>
      <c r="F12" s="571">
        <v>9</v>
      </c>
      <c r="G12" s="571">
        <v>3</v>
      </c>
      <c r="H12" s="571"/>
      <c r="I12" s="571">
        <v>6</v>
      </c>
      <c r="J12" s="571"/>
      <c r="K12" s="571">
        <v>9</v>
      </c>
      <c r="L12" s="571">
        <v>39</v>
      </c>
      <c r="M12" s="571">
        <v>13</v>
      </c>
      <c r="N12" s="571">
        <v>37</v>
      </c>
      <c r="O12" s="571">
        <v>1</v>
      </c>
      <c r="P12" s="571">
        <v>90</v>
      </c>
      <c r="Q12" s="571">
        <v>39</v>
      </c>
      <c r="R12" s="571">
        <v>13</v>
      </c>
      <c r="S12" s="571">
        <v>37</v>
      </c>
      <c r="T12" s="571">
        <v>1</v>
      </c>
      <c r="U12" s="571">
        <v>90</v>
      </c>
      <c r="V12" s="571"/>
      <c r="W12" s="571"/>
      <c r="X12" s="571"/>
      <c r="Y12" s="571"/>
      <c r="Z12" s="571"/>
      <c r="AA12" s="571"/>
      <c r="AB12" s="571"/>
      <c r="AC12" s="571"/>
      <c r="AD12" s="571"/>
      <c r="AE12" s="571"/>
      <c r="AF12" s="571">
        <v>42</v>
      </c>
      <c r="AG12" s="571">
        <v>13</v>
      </c>
      <c r="AH12" s="571">
        <v>43</v>
      </c>
      <c r="AI12" s="571">
        <v>1</v>
      </c>
      <c r="AJ12" s="571">
        <v>99</v>
      </c>
    </row>
    <row r="13" spans="1:36" x14ac:dyDescent="0.25">
      <c r="A13" s="986" t="s">
        <v>278</v>
      </c>
      <c r="B13" s="571">
        <v>2</v>
      </c>
      <c r="C13" s="571"/>
      <c r="D13" s="571">
        <v>3</v>
      </c>
      <c r="E13" s="571"/>
      <c r="F13" s="571">
        <v>5</v>
      </c>
      <c r="G13" s="571">
        <v>2</v>
      </c>
      <c r="H13" s="571"/>
      <c r="I13" s="571">
        <v>3</v>
      </c>
      <c r="J13" s="571"/>
      <c r="K13" s="571">
        <v>5</v>
      </c>
      <c r="L13" s="571">
        <v>44</v>
      </c>
      <c r="M13" s="571">
        <v>10</v>
      </c>
      <c r="N13" s="571">
        <v>22</v>
      </c>
      <c r="O13" s="571">
        <v>2</v>
      </c>
      <c r="P13" s="571">
        <v>78</v>
      </c>
      <c r="Q13" s="571">
        <v>44</v>
      </c>
      <c r="R13" s="571">
        <v>10</v>
      </c>
      <c r="S13" s="571">
        <v>22</v>
      </c>
      <c r="T13" s="571">
        <v>2</v>
      </c>
      <c r="U13" s="571">
        <v>78</v>
      </c>
      <c r="V13" s="571"/>
      <c r="W13" s="571"/>
      <c r="X13" s="571"/>
      <c r="Y13" s="571"/>
      <c r="Z13" s="571"/>
      <c r="AA13" s="571"/>
      <c r="AB13" s="571"/>
      <c r="AC13" s="571"/>
      <c r="AD13" s="571"/>
      <c r="AE13" s="571"/>
      <c r="AF13" s="571">
        <v>46</v>
      </c>
      <c r="AG13" s="571">
        <v>10</v>
      </c>
      <c r="AH13" s="571">
        <v>25</v>
      </c>
      <c r="AI13" s="571">
        <v>2</v>
      </c>
      <c r="AJ13" s="571">
        <v>83</v>
      </c>
    </row>
    <row r="14" spans="1:36" x14ac:dyDescent="0.25">
      <c r="A14" s="986" t="s">
        <v>259</v>
      </c>
      <c r="B14" s="571">
        <v>3</v>
      </c>
      <c r="C14" s="571">
        <v>2</v>
      </c>
      <c r="D14" s="571">
        <v>3</v>
      </c>
      <c r="E14" s="571"/>
      <c r="F14" s="571">
        <v>8</v>
      </c>
      <c r="G14" s="571">
        <v>3</v>
      </c>
      <c r="H14" s="571">
        <v>2</v>
      </c>
      <c r="I14" s="571">
        <v>3</v>
      </c>
      <c r="J14" s="571"/>
      <c r="K14" s="571">
        <v>8</v>
      </c>
      <c r="L14" s="571">
        <v>32</v>
      </c>
      <c r="M14" s="571">
        <v>9</v>
      </c>
      <c r="N14" s="571">
        <v>12</v>
      </c>
      <c r="O14" s="571"/>
      <c r="P14" s="571">
        <v>53</v>
      </c>
      <c r="Q14" s="571">
        <v>32</v>
      </c>
      <c r="R14" s="571">
        <v>9</v>
      </c>
      <c r="S14" s="571">
        <v>12</v>
      </c>
      <c r="T14" s="571"/>
      <c r="U14" s="571">
        <v>53</v>
      </c>
      <c r="V14" s="571"/>
      <c r="W14" s="571"/>
      <c r="X14" s="571"/>
      <c r="Y14" s="571"/>
      <c r="Z14" s="571"/>
      <c r="AA14" s="571"/>
      <c r="AB14" s="571"/>
      <c r="AC14" s="571"/>
      <c r="AD14" s="571"/>
      <c r="AE14" s="571"/>
      <c r="AF14" s="571">
        <v>35</v>
      </c>
      <c r="AG14" s="571">
        <v>11</v>
      </c>
      <c r="AH14" s="571">
        <v>15</v>
      </c>
      <c r="AI14" s="571"/>
      <c r="AJ14" s="571">
        <v>61</v>
      </c>
    </row>
    <row r="15" spans="1:36" x14ac:dyDescent="0.25">
      <c r="A15" s="986" t="s">
        <v>258</v>
      </c>
      <c r="B15" s="571">
        <v>2</v>
      </c>
      <c r="C15" s="571">
        <v>2</v>
      </c>
      <c r="D15" s="571">
        <v>6</v>
      </c>
      <c r="E15" s="571">
        <v>1</v>
      </c>
      <c r="F15" s="571">
        <v>11</v>
      </c>
      <c r="G15" s="571">
        <v>2</v>
      </c>
      <c r="H15" s="571">
        <v>2</v>
      </c>
      <c r="I15" s="571">
        <v>6</v>
      </c>
      <c r="J15" s="571">
        <v>1</v>
      </c>
      <c r="K15" s="571">
        <v>11</v>
      </c>
      <c r="L15" s="571">
        <v>48</v>
      </c>
      <c r="M15" s="571">
        <v>8</v>
      </c>
      <c r="N15" s="571">
        <v>15</v>
      </c>
      <c r="O15" s="571">
        <v>1</v>
      </c>
      <c r="P15" s="571">
        <v>72</v>
      </c>
      <c r="Q15" s="571">
        <v>48</v>
      </c>
      <c r="R15" s="571">
        <v>8</v>
      </c>
      <c r="S15" s="571">
        <v>15</v>
      </c>
      <c r="T15" s="571">
        <v>1</v>
      </c>
      <c r="U15" s="571">
        <v>72</v>
      </c>
      <c r="V15" s="571"/>
      <c r="W15" s="571"/>
      <c r="X15" s="571"/>
      <c r="Y15" s="571"/>
      <c r="Z15" s="571"/>
      <c r="AA15" s="571"/>
      <c r="AB15" s="571"/>
      <c r="AC15" s="571"/>
      <c r="AD15" s="571"/>
      <c r="AE15" s="571"/>
      <c r="AF15" s="571">
        <v>50</v>
      </c>
      <c r="AG15" s="571">
        <v>10</v>
      </c>
      <c r="AH15" s="571">
        <v>21</v>
      </c>
      <c r="AI15" s="571">
        <v>2</v>
      </c>
      <c r="AJ15" s="571">
        <v>83</v>
      </c>
    </row>
    <row r="16" spans="1:36" x14ac:dyDescent="0.25">
      <c r="A16" s="986" t="s">
        <v>319</v>
      </c>
      <c r="B16" s="571"/>
      <c r="C16" s="571"/>
      <c r="D16" s="571"/>
      <c r="E16" s="571"/>
      <c r="F16" s="571"/>
      <c r="G16" s="571"/>
      <c r="H16" s="571"/>
      <c r="I16" s="571"/>
      <c r="J16" s="571"/>
      <c r="K16" s="571"/>
      <c r="L16" s="571"/>
      <c r="M16" s="571"/>
      <c r="N16" s="571"/>
      <c r="O16" s="571"/>
      <c r="P16" s="571"/>
      <c r="Q16" s="571"/>
      <c r="R16" s="571"/>
      <c r="S16" s="571"/>
      <c r="T16" s="571"/>
      <c r="U16" s="571"/>
      <c r="V16" s="571"/>
      <c r="W16" s="571"/>
      <c r="X16" s="571"/>
      <c r="Y16" s="571"/>
      <c r="Z16" s="571"/>
      <c r="AA16" s="571"/>
      <c r="AB16" s="571"/>
      <c r="AC16" s="571"/>
      <c r="AD16" s="571"/>
      <c r="AE16" s="571"/>
      <c r="AF16" s="571"/>
      <c r="AG16" s="571"/>
      <c r="AH16" s="571"/>
      <c r="AI16" s="571"/>
      <c r="AJ16" s="571"/>
    </row>
    <row r="17" spans="1:36" x14ac:dyDescent="0.25">
      <c r="A17" s="986" t="s">
        <v>255</v>
      </c>
      <c r="B17" s="571">
        <v>10</v>
      </c>
      <c r="C17" s="571">
        <v>4</v>
      </c>
      <c r="D17" s="571">
        <v>18</v>
      </c>
      <c r="E17" s="571">
        <v>1</v>
      </c>
      <c r="F17" s="571">
        <v>33</v>
      </c>
      <c r="G17" s="571">
        <v>10</v>
      </c>
      <c r="H17" s="571">
        <v>4</v>
      </c>
      <c r="I17" s="571">
        <v>18</v>
      </c>
      <c r="J17" s="571">
        <v>1</v>
      </c>
      <c r="K17" s="571">
        <v>33</v>
      </c>
      <c r="L17" s="571">
        <v>324</v>
      </c>
      <c r="M17" s="571">
        <v>62</v>
      </c>
      <c r="N17" s="571">
        <v>202</v>
      </c>
      <c r="O17" s="571">
        <v>39</v>
      </c>
      <c r="P17" s="571">
        <v>627</v>
      </c>
      <c r="Q17" s="571">
        <v>324</v>
      </c>
      <c r="R17" s="571">
        <v>62</v>
      </c>
      <c r="S17" s="571">
        <v>202</v>
      </c>
      <c r="T17" s="571">
        <v>39</v>
      </c>
      <c r="U17" s="571">
        <v>627</v>
      </c>
      <c r="V17" s="571"/>
      <c r="W17" s="571"/>
      <c r="X17" s="571"/>
      <c r="Y17" s="571"/>
      <c r="Z17" s="571"/>
      <c r="AA17" s="571"/>
      <c r="AB17" s="571"/>
      <c r="AC17" s="571"/>
      <c r="AD17" s="571"/>
      <c r="AE17" s="571"/>
      <c r="AF17" s="571">
        <v>334</v>
      </c>
      <c r="AG17" s="571">
        <v>66</v>
      </c>
      <c r="AH17" s="571">
        <v>220</v>
      </c>
      <c r="AI17" s="571">
        <v>40</v>
      </c>
      <c r="AJ17" s="571">
        <v>660</v>
      </c>
    </row>
    <row r="20" spans="1:36" x14ac:dyDescent="0.25">
      <c r="B20" s="569" t="s">
        <v>276</v>
      </c>
    </row>
    <row r="21" spans="1:36" x14ac:dyDescent="0.25">
      <c r="B21" t="s">
        <v>348</v>
      </c>
      <c r="L21" t="s">
        <v>395</v>
      </c>
      <c r="M21" t="s">
        <v>396</v>
      </c>
      <c r="N21" t="s">
        <v>397</v>
      </c>
      <c r="O21" t="s">
        <v>398</v>
      </c>
      <c r="P21" t="s">
        <v>399</v>
      </c>
      <c r="Q21" t="s">
        <v>351</v>
      </c>
      <c r="R21" t="s">
        <v>357</v>
      </c>
      <c r="S21" t="s">
        <v>361</v>
      </c>
      <c r="T21" t="s">
        <v>365</v>
      </c>
      <c r="U21" t="s">
        <v>354</v>
      </c>
    </row>
    <row r="22" spans="1:36" x14ac:dyDescent="0.25">
      <c r="B22" t="s">
        <v>200</v>
      </c>
      <c r="G22" t="s">
        <v>216</v>
      </c>
    </row>
    <row r="23" spans="1:36" x14ac:dyDescent="0.25">
      <c r="A23" s="569" t="s">
        <v>250</v>
      </c>
      <c r="B23" t="s">
        <v>347</v>
      </c>
      <c r="C23" t="s">
        <v>358</v>
      </c>
      <c r="D23" t="s">
        <v>362</v>
      </c>
      <c r="E23" t="s">
        <v>366</v>
      </c>
      <c r="F23" t="s">
        <v>256</v>
      </c>
      <c r="G23" t="s">
        <v>347</v>
      </c>
      <c r="H23" t="s">
        <v>358</v>
      </c>
      <c r="I23" t="s">
        <v>362</v>
      </c>
      <c r="J23" t="s">
        <v>366</v>
      </c>
      <c r="K23" t="s">
        <v>256</v>
      </c>
    </row>
    <row r="24" spans="1:36" x14ac:dyDescent="0.25">
      <c r="A24" s="986" t="s">
        <v>330</v>
      </c>
      <c r="B24" s="571"/>
      <c r="C24" s="571"/>
      <c r="D24" s="571"/>
      <c r="E24" s="571"/>
      <c r="F24" s="571"/>
      <c r="G24" s="571">
        <v>0</v>
      </c>
      <c r="H24" s="571">
        <v>0</v>
      </c>
      <c r="I24" s="571">
        <v>0</v>
      </c>
      <c r="J24" s="571">
        <v>1</v>
      </c>
      <c r="K24" s="571">
        <v>1</v>
      </c>
      <c r="L24" s="571">
        <v>0</v>
      </c>
      <c r="M24" s="571">
        <v>0</v>
      </c>
      <c r="N24" s="571">
        <v>0</v>
      </c>
      <c r="O24" s="571">
        <v>1</v>
      </c>
      <c r="P24" s="571">
        <v>1</v>
      </c>
      <c r="Q24" s="571">
        <v>0</v>
      </c>
      <c r="R24" s="571">
        <v>0</v>
      </c>
      <c r="S24" s="571">
        <v>0</v>
      </c>
      <c r="T24" s="571">
        <v>1</v>
      </c>
      <c r="U24" s="571">
        <v>1</v>
      </c>
    </row>
    <row r="25" spans="1:36" x14ac:dyDescent="0.25">
      <c r="A25" s="986" t="s">
        <v>208</v>
      </c>
      <c r="B25" s="571"/>
      <c r="C25" s="571"/>
      <c r="D25" s="571"/>
      <c r="E25" s="571"/>
      <c r="F25" s="571"/>
      <c r="G25" s="571">
        <v>1</v>
      </c>
      <c r="H25" s="571">
        <v>3</v>
      </c>
      <c r="I25" s="571">
        <v>0</v>
      </c>
      <c r="J25" s="571">
        <v>0</v>
      </c>
      <c r="K25" s="571">
        <v>4</v>
      </c>
      <c r="L25" s="571">
        <v>1</v>
      </c>
      <c r="M25" s="571">
        <v>3</v>
      </c>
      <c r="N25" s="571">
        <v>0</v>
      </c>
      <c r="O25" s="571">
        <v>0</v>
      </c>
      <c r="P25" s="571">
        <v>4</v>
      </c>
      <c r="Q25" s="571">
        <v>1</v>
      </c>
      <c r="R25" s="571">
        <v>3</v>
      </c>
      <c r="S25" s="571">
        <v>0</v>
      </c>
      <c r="T25" s="571">
        <v>0</v>
      </c>
      <c r="U25" s="571">
        <v>4</v>
      </c>
    </row>
    <row r="26" spans="1:36" x14ac:dyDescent="0.25">
      <c r="A26" s="986" t="s">
        <v>207</v>
      </c>
      <c r="B26" s="571"/>
      <c r="C26" s="571"/>
      <c r="D26" s="571"/>
      <c r="E26" s="571"/>
      <c r="F26" s="571"/>
      <c r="G26" s="571">
        <v>1</v>
      </c>
      <c r="H26" s="571">
        <v>1</v>
      </c>
      <c r="I26" s="571">
        <v>0</v>
      </c>
      <c r="J26" s="571">
        <v>0</v>
      </c>
      <c r="K26" s="571">
        <v>2</v>
      </c>
      <c r="L26" s="571">
        <v>1</v>
      </c>
      <c r="M26" s="571">
        <v>1</v>
      </c>
      <c r="N26" s="571">
        <v>0</v>
      </c>
      <c r="O26" s="571">
        <v>0</v>
      </c>
      <c r="P26" s="571">
        <v>2</v>
      </c>
      <c r="Q26" s="571">
        <v>1</v>
      </c>
      <c r="R26" s="571">
        <v>1</v>
      </c>
      <c r="S26" s="571">
        <v>0</v>
      </c>
      <c r="T26" s="571">
        <v>0</v>
      </c>
      <c r="U26" s="571">
        <v>2</v>
      </c>
    </row>
    <row r="27" spans="1:36" x14ac:dyDescent="0.25">
      <c r="A27" s="986" t="s">
        <v>206</v>
      </c>
      <c r="B27" s="571"/>
      <c r="C27" s="571"/>
      <c r="D27" s="571"/>
      <c r="E27" s="571"/>
      <c r="F27" s="571"/>
      <c r="G27" s="571">
        <v>1</v>
      </c>
      <c r="H27" s="571">
        <v>1</v>
      </c>
      <c r="I27" s="571">
        <v>1</v>
      </c>
      <c r="J27" s="571">
        <v>2</v>
      </c>
      <c r="K27" s="571">
        <v>5</v>
      </c>
      <c r="L27" s="571">
        <v>1</v>
      </c>
      <c r="M27" s="571">
        <v>1</v>
      </c>
      <c r="N27" s="571">
        <v>1</v>
      </c>
      <c r="O27" s="571">
        <v>2</v>
      </c>
      <c r="P27" s="571">
        <v>5</v>
      </c>
      <c r="Q27" s="571">
        <v>1</v>
      </c>
      <c r="R27" s="571">
        <v>1</v>
      </c>
      <c r="S27" s="571">
        <v>1</v>
      </c>
      <c r="T27" s="571">
        <v>2</v>
      </c>
      <c r="U27" s="571">
        <v>5</v>
      </c>
    </row>
    <row r="28" spans="1:36" x14ac:dyDescent="0.25">
      <c r="A28" s="986" t="s">
        <v>205</v>
      </c>
      <c r="B28" s="571"/>
      <c r="C28" s="571"/>
      <c r="D28" s="571"/>
      <c r="E28" s="571"/>
      <c r="F28" s="571"/>
      <c r="G28" s="571"/>
      <c r="H28" s="571">
        <v>2</v>
      </c>
      <c r="I28" s="571"/>
      <c r="J28" s="571"/>
      <c r="K28" s="571">
        <v>2</v>
      </c>
      <c r="L28" s="571"/>
      <c r="M28" s="571">
        <v>2</v>
      </c>
      <c r="N28" s="571"/>
      <c r="O28" s="571"/>
      <c r="P28" s="571">
        <v>2</v>
      </c>
      <c r="Q28" s="571"/>
      <c r="R28" s="571">
        <v>2</v>
      </c>
      <c r="S28" s="571"/>
      <c r="T28" s="571"/>
      <c r="U28" s="571">
        <v>2</v>
      </c>
    </row>
    <row r="29" spans="1:36" x14ac:dyDescent="0.25">
      <c r="A29" s="986" t="s">
        <v>278</v>
      </c>
      <c r="B29" s="571"/>
      <c r="C29" s="571"/>
      <c r="D29" s="571"/>
      <c r="E29" s="571"/>
      <c r="F29" s="571"/>
      <c r="G29" s="571">
        <v>2</v>
      </c>
      <c r="H29" s="571">
        <v>3</v>
      </c>
      <c r="I29" s="571"/>
      <c r="J29" s="571"/>
      <c r="K29" s="571">
        <v>5</v>
      </c>
      <c r="L29" s="571">
        <v>2</v>
      </c>
      <c r="M29" s="571">
        <v>3</v>
      </c>
      <c r="N29" s="571"/>
      <c r="O29" s="571"/>
      <c r="P29" s="571">
        <v>5</v>
      </c>
      <c r="Q29" s="571">
        <v>2</v>
      </c>
      <c r="R29" s="571">
        <v>3</v>
      </c>
      <c r="S29" s="571"/>
      <c r="T29" s="571"/>
      <c r="U29" s="571">
        <v>5</v>
      </c>
    </row>
    <row r="30" spans="1:36" x14ac:dyDescent="0.25">
      <c r="A30" s="986" t="s">
        <v>259</v>
      </c>
      <c r="B30" s="571"/>
      <c r="C30" s="571"/>
      <c r="D30" s="571"/>
      <c r="E30" s="571"/>
      <c r="F30" s="571"/>
      <c r="G30" s="571">
        <v>3</v>
      </c>
      <c r="H30" s="571">
        <v>4</v>
      </c>
      <c r="I30" s="571"/>
      <c r="J30" s="571"/>
      <c r="K30" s="571">
        <v>7</v>
      </c>
      <c r="L30" s="571">
        <v>3</v>
      </c>
      <c r="M30" s="571">
        <v>4</v>
      </c>
      <c r="N30" s="571"/>
      <c r="O30" s="571"/>
      <c r="P30" s="571">
        <v>7</v>
      </c>
      <c r="Q30" s="571">
        <v>3</v>
      </c>
      <c r="R30" s="571">
        <v>4</v>
      </c>
      <c r="S30" s="571"/>
      <c r="T30" s="571"/>
      <c r="U30" s="571">
        <v>7</v>
      </c>
    </row>
    <row r="31" spans="1:36" x14ac:dyDescent="0.25">
      <c r="A31" s="986" t="s">
        <v>258</v>
      </c>
      <c r="B31" s="571"/>
      <c r="C31" s="571">
        <v>2</v>
      </c>
      <c r="D31" s="571"/>
      <c r="E31" s="571"/>
      <c r="F31" s="571">
        <v>2</v>
      </c>
      <c r="G31" s="571">
        <v>1</v>
      </c>
      <c r="H31" s="571"/>
      <c r="I31" s="571"/>
      <c r="J31" s="571"/>
      <c r="K31" s="571">
        <v>1</v>
      </c>
      <c r="L31" s="571">
        <v>1</v>
      </c>
      <c r="M31" s="571">
        <v>2</v>
      </c>
      <c r="N31" s="571"/>
      <c r="O31" s="571"/>
      <c r="P31" s="571">
        <v>3</v>
      </c>
      <c r="Q31" s="571">
        <v>1</v>
      </c>
      <c r="R31" s="571">
        <v>2</v>
      </c>
      <c r="S31" s="571"/>
      <c r="T31" s="571"/>
      <c r="U31" s="571">
        <v>3</v>
      </c>
    </row>
    <row r="32" spans="1:36" x14ac:dyDescent="0.25">
      <c r="A32" s="986" t="s">
        <v>255</v>
      </c>
      <c r="B32" s="571"/>
      <c r="C32" s="571">
        <v>2</v>
      </c>
      <c r="D32" s="571"/>
      <c r="E32" s="571"/>
      <c r="F32" s="571">
        <v>2</v>
      </c>
      <c r="G32" s="571">
        <v>9</v>
      </c>
      <c r="H32" s="571">
        <v>14</v>
      </c>
      <c r="I32" s="571">
        <v>1</v>
      </c>
      <c r="J32" s="571">
        <v>3</v>
      </c>
      <c r="K32" s="571">
        <v>27</v>
      </c>
      <c r="L32" s="571">
        <v>9</v>
      </c>
      <c r="M32" s="571">
        <v>16</v>
      </c>
      <c r="N32" s="571">
        <v>1</v>
      </c>
      <c r="O32" s="571">
        <v>3</v>
      </c>
      <c r="P32" s="571">
        <v>29</v>
      </c>
      <c r="Q32" s="571">
        <v>9</v>
      </c>
      <c r="R32" s="571">
        <v>16</v>
      </c>
      <c r="S32" s="571">
        <v>1</v>
      </c>
      <c r="T32" s="571">
        <v>3</v>
      </c>
      <c r="U32" s="571">
        <v>29</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5" tint="0.39997558519241921"/>
    <pageSetUpPr fitToPage="1"/>
  </sheetPr>
  <dimension ref="A1:K45"/>
  <sheetViews>
    <sheetView showGridLines="0" zoomScaleNormal="100" workbookViewId="0">
      <pane ySplit="2" topLeftCell="A3" activePane="bottomLeft" state="frozen"/>
      <selection sqref="A1:C1"/>
      <selection pane="bottomLeft" sqref="A1:C1"/>
    </sheetView>
  </sheetViews>
  <sheetFormatPr defaultRowHeight="15" x14ac:dyDescent="0.25"/>
  <cols>
    <col min="1" max="1" width="18.85546875" customWidth="1"/>
    <col min="2" max="2" width="32.28515625" customWidth="1"/>
    <col min="3" max="6" width="12.85546875" customWidth="1"/>
  </cols>
  <sheetData>
    <row r="1" spans="1:11" ht="15.75" x14ac:dyDescent="0.25">
      <c r="A1" s="993" t="s">
        <v>616</v>
      </c>
      <c r="B1" s="993"/>
      <c r="C1" s="993"/>
    </row>
    <row r="2" spans="1:11" ht="15.75" x14ac:dyDescent="0.25">
      <c r="A2" s="790" t="s">
        <v>598</v>
      </c>
      <c r="B2" s="792"/>
      <c r="C2" s="792"/>
    </row>
    <row r="3" spans="1:11" x14ac:dyDescent="0.25">
      <c r="D3" s="276"/>
      <c r="E3" s="276"/>
      <c r="F3" s="276"/>
    </row>
    <row r="4" spans="1:11" ht="15.75" customHeight="1" x14ac:dyDescent="0.25">
      <c r="A4" s="1024" t="s">
        <v>690</v>
      </c>
      <c r="B4" s="1024"/>
      <c r="C4" s="1024"/>
      <c r="D4" s="1024"/>
      <c r="E4" s="1024"/>
      <c r="F4" s="1024"/>
      <c r="G4" s="1024"/>
      <c r="H4" s="1024"/>
      <c r="I4" s="1024"/>
      <c r="J4" s="1024"/>
      <c r="K4" s="1024"/>
    </row>
    <row r="5" spans="1:11" ht="15.75" customHeight="1" x14ac:dyDescent="0.25">
      <c r="A5" t="s">
        <v>368</v>
      </c>
      <c r="B5" t="s">
        <v>765</v>
      </c>
      <c r="C5" s="791"/>
      <c r="D5" s="791"/>
      <c r="E5" s="791"/>
      <c r="F5" s="791"/>
    </row>
    <row r="6" spans="1:11" ht="15.75" customHeight="1" x14ac:dyDescent="0.25">
      <c r="A6" t="s">
        <v>369</v>
      </c>
      <c r="B6" t="s">
        <v>371</v>
      </c>
      <c r="C6" s="791"/>
      <c r="D6" s="791"/>
      <c r="E6" s="791"/>
      <c r="F6" s="791"/>
    </row>
    <row r="7" spans="1:11" ht="15.75" customHeight="1" x14ac:dyDescent="0.25">
      <c r="A7" t="s">
        <v>370</v>
      </c>
      <c r="B7" t="s">
        <v>623</v>
      </c>
      <c r="C7" s="791"/>
      <c r="D7" s="791"/>
      <c r="E7" s="791"/>
      <c r="F7" s="791"/>
    </row>
    <row r="8" spans="1:11" x14ac:dyDescent="0.25">
      <c r="B8" s="28"/>
      <c r="C8" s="28"/>
      <c r="D8" s="28"/>
      <c r="E8" s="16"/>
      <c r="F8" s="275"/>
    </row>
    <row r="9" spans="1:11" x14ac:dyDescent="0.25">
      <c r="A9" s="53" t="s">
        <v>534</v>
      </c>
      <c r="B9" s="53" t="s">
        <v>30</v>
      </c>
      <c r="C9" s="3" t="s">
        <v>205</v>
      </c>
      <c r="D9" s="3" t="s">
        <v>278</v>
      </c>
      <c r="E9" s="3" t="s">
        <v>259</v>
      </c>
      <c r="F9" s="3" t="s">
        <v>258</v>
      </c>
    </row>
    <row r="10" spans="1:11" ht="19.5" customHeight="1" x14ac:dyDescent="0.25">
      <c r="A10" s="581" t="s">
        <v>306</v>
      </c>
      <c r="B10" s="582" t="s">
        <v>31</v>
      </c>
      <c r="C10" s="277">
        <f>'h16'!B3</f>
        <v>8</v>
      </c>
      <c r="D10" s="277">
        <f>'h16'!C3</f>
        <v>1</v>
      </c>
      <c r="E10" s="277">
        <f>'h16'!D3</f>
        <v>1</v>
      </c>
      <c r="F10" s="277">
        <f>'h16'!E3</f>
        <v>1</v>
      </c>
    </row>
    <row r="11" spans="1:11" x14ac:dyDescent="0.25">
      <c r="A11" s="110" t="s">
        <v>307</v>
      </c>
      <c r="B11" s="65" t="s">
        <v>32</v>
      </c>
      <c r="C11" s="277">
        <f>'h16'!B4</f>
        <v>1</v>
      </c>
      <c r="D11" s="277">
        <f>'h16'!C4</f>
        <v>3</v>
      </c>
      <c r="E11" s="277">
        <f>'h16'!D4</f>
        <v>1</v>
      </c>
      <c r="F11" s="277">
        <f>'h16'!E4</f>
        <v>1</v>
      </c>
    </row>
    <row r="12" spans="1:11" x14ac:dyDescent="0.25">
      <c r="A12" s="110" t="s">
        <v>313</v>
      </c>
      <c r="B12" s="65" t="s">
        <v>33</v>
      </c>
      <c r="C12" s="277">
        <f>'h16'!B5</f>
        <v>0</v>
      </c>
      <c r="D12" s="277">
        <f>'h16'!C5</f>
        <v>0</v>
      </c>
      <c r="E12" s="277">
        <f>'h16'!D5</f>
        <v>0</v>
      </c>
      <c r="F12" s="277">
        <f>'h16'!E5</f>
        <v>0</v>
      </c>
    </row>
    <row r="13" spans="1:11" x14ac:dyDescent="0.25">
      <c r="A13" s="110" t="s">
        <v>308</v>
      </c>
      <c r="B13" s="65" t="s">
        <v>34</v>
      </c>
      <c r="C13" s="277">
        <f>'h16'!B6</f>
        <v>1</v>
      </c>
      <c r="D13" s="277">
        <f>'h16'!C6</f>
        <v>3</v>
      </c>
      <c r="E13" s="277">
        <f>'h16'!D6</f>
        <v>0</v>
      </c>
      <c r="F13" s="277">
        <f>'h16'!E6</f>
        <v>1</v>
      </c>
    </row>
    <row r="14" spans="1:11" x14ac:dyDescent="0.25">
      <c r="A14" s="110" t="s">
        <v>309</v>
      </c>
      <c r="B14" s="65" t="s">
        <v>262</v>
      </c>
      <c r="C14" s="277">
        <f>'h16'!B7</f>
        <v>6</v>
      </c>
      <c r="D14" s="277">
        <f>'h16'!C7</f>
        <v>5</v>
      </c>
      <c r="E14" s="277">
        <f>'h16'!D7</f>
        <v>2</v>
      </c>
      <c r="F14" s="277">
        <f>'h16'!E7</f>
        <v>8</v>
      </c>
    </row>
    <row r="15" spans="1:11" x14ac:dyDescent="0.25">
      <c r="A15" s="110" t="s">
        <v>287</v>
      </c>
      <c r="B15" s="65" t="s">
        <v>35</v>
      </c>
      <c r="C15" s="277">
        <f>'h16'!B8</f>
        <v>1</v>
      </c>
      <c r="D15" s="277">
        <f>'h16'!C8</f>
        <v>0</v>
      </c>
      <c r="E15" s="277">
        <f>'h16'!D8</f>
        <v>0</v>
      </c>
      <c r="F15" s="277">
        <f>'h16'!E8</f>
        <v>0</v>
      </c>
    </row>
    <row r="16" spans="1:11" x14ac:dyDescent="0.25">
      <c r="A16" s="110" t="s">
        <v>288</v>
      </c>
      <c r="B16" s="65" t="s">
        <v>36</v>
      </c>
      <c r="C16" s="277">
        <f>'h16'!B9</f>
        <v>2</v>
      </c>
      <c r="D16" s="277">
        <f>'h16'!C9</f>
        <v>1</v>
      </c>
      <c r="E16" s="277">
        <f>'h16'!D9</f>
        <v>0</v>
      </c>
      <c r="F16" s="277">
        <f>'h16'!E9</f>
        <v>0</v>
      </c>
    </row>
    <row r="17" spans="1:6" x14ac:dyDescent="0.25">
      <c r="A17" s="110" t="s">
        <v>314</v>
      </c>
      <c r="B17" s="65" t="s">
        <v>37</v>
      </c>
      <c r="C17" s="277">
        <f>'h16'!B10</f>
        <v>2</v>
      </c>
      <c r="D17" s="277">
        <f>'h16'!C10</f>
        <v>9</v>
      </c>
      <c r="E17" s="277">
        <f>'h16'!D10</f>
        <v>3</v>
      </c>
      <c r="F17" s="277">
        <f>'h16'!E10</f>
        <v>3</v>
      </c>
    </row>
    <row r="18" spans="1:6" x14ac:dyDescent="0.25">
      <c r="A18" s="110" t="s">
        <v>289</v>
      </c>
      <c r="B18" s="65" t="s">
        <v>38</v>
      </c>
      <c r="C18" s="277">
        <f>'h16'!B11</f>
        <v>3</v>
      </c>
      <c r="D18" s="277">
        <f>'h16'!C11</f>
        <v>1</v>
      </c>
      <c r="E18" s="277">
        <f>'h16'!D11</f>
        <v>1</v>
      </c>
      <c r="F18" s="277">
        <f>'h16'!E11</f>
        <v>3</v>
      </c>
    </row>
    <row r="19" spans="1:6" x14ac:dyDescent="0.25">
      <c r="A19" s="110" t="s">
        <v>316</v>
      </c>
      <c r="B19" s="65" t="s">
        <v>39</v>
      </c>
      <c r="C19" s="277">
        <f>'h16'!B12</f>
        <v>1</v>
      </c>
      <c r="D19" s="277">
        <f>'h16'!C12</f>
        <v>3</v>
      </c>
      <c r="E19" s="277">
        <f>'h16'!D12</f>
        <v>0</v>
      </c>
      <c r="F19" s="277">
        <f>'h16'!E12</f>
        <v>4</v>
      </c>
    </row>
    <row r="20" spans="1:6" x14ac:dyDescent="0.25">
      <c r="A20" s="110" t="s">
        <v>290</v>
      </c>
      <c r="B20" s="65" t="s">
        <v>40</v>
      </c>
      <c r="C20" s="277">
        <f>'h16'!B13</f>
        <v>2</v>
      </c>
      <c r="D20" s="277">
        <f>'h16'!C13</f>
        <v>2</v>
      </c>
      <c r="E20" s="277">
        <f>'h16'!D13</f>
        <v>0</v>
      </c>
      <c r="F20" s="277">
        <f>'h16'!E13</f>
        <v>0</v>
      </c>
    </row>
    <row r="21" spans="1:6" x14ac:dyDescent="0.25">
      <c r="A21" s="110" t="s">
        <v>291</v>
      </c>
      <c r="B21" s="65" t="s">
        <v>41</v>
      </c>
      <c r="C21" s="277">
        <f>'h16'!B14</f>
        <v>0</v>
      </c>
      <c r="D21" s="277">
        <f>'h16'!C14</f>
        <v>0</v>
      </c>
      <c r="E21" s="277">
        <f>'h16'!D14</f>
        <v>0</v>
      </c>
      <c r="F21" s="277">
        <f>'h16'!E14</f>
        <v>0</v>
      </c>
    </row>
    <row r="22" spans="1:6" x14ac:dyDescent="0.25">
      <c r="A22" s="110" t="s">
        <v>293</v>
      </c>
      <c r="B22" s="65" t="s">
        <v>42</v>
      </c>
      <c r="C22" s="277">
        <f>'h16'!B15</f>
        <v>5</v>
      </c>
      <c r="D22" s="277">
        <f>'h16'!C15</f>
        <v>2</v>
      </c>
      <c r="E22" s="277">
        <f>'h16'!D15</f>
        <v>0</v>
      </c>
      <c r="F22" s="277">
        <f>'h16'!E15</f>
        <v>0</v>
      </c>
    </row>
    <row r="23" spans="1:6" x14ac:dyDescent="0.25">
      <c r="A23" s="110" t="s">
        <v>318</v>
      </c>
      <c r="B23" s="65" t="s">
        <v>43</v>
      </c>
      <c r="C23" s="277">
        <f>'h16'!B16</f>
        <v>6</v>
      </c>
      <c r="D23" s="277">
        <f>'h16'!C16</f>
        <v>0</v>
      </c>
      <c r="E23" s="277">
        <f>'h16'!D16</f>
        <v>3</v>
      </c>
      <c r="F23" s="277">
        <f>'h16'!E16</f>
        <v>6</v>
      </c>
    </row>
    <row r="24" spans="1:6" x14ac:dyDescent="0.25">
      <c r="A24" s="110" t="s">
        <v>317</v>
      </c>
      <c r="B24" s="65" t="s">
        <v>124</v>
      </c>
      <c r="C24" s="277">
        <f>'h16'!B17</f>
        <v>16</v>
      </c>
      <c r="D24" s="277">
        <f>'h16'!C17</f>
        <v>19</v>
      </c>
      <c r="E24" s="277">
        <f>'h16'!D17</f>
        <v>20</v>
      </c>
      <c r="F24" s="277">
        <f>'h16'!E17</f>
        <v>23</v>
      </c>
    </row>
    <row r="25" spans="1:6" x14ac:dyDescent="0.25">
      <c r="A25" s="110" t="s">
        <v>294</v>
      </c>
      <c r="B25" s="65" t="s">
        <v>44</v>
      </c>
      <c r="C25" s="277">
        <f>'h16'!B18</f>
        <v>2</v>
      </c>
      <c r="D25" s="277">
        <f>'h16'!C18</f>
        <v>1</v>
      </c>
      <c r="E25" s="277">
        <f>'h16'!D18</f>
        <v>0</v>
      </c>
      <c r="F25" s="277">
        <f>'h16'!E18</f>
        <v>0</v>
      </c>
    </row>
    <row r="26" spans="1:6" x14ac:dyDescent="0.25">
      <c r="A26" s="110" t="s">
        <v>295</v>
      </c>
      <c r="B26" s="65" t="s">
        <v>45</v>
      </c>
      <c r="C26" s="277">
        <f>'h16'!B19</f>
        <v>4</v>
      </c>
      <c r="D26" s="277">
        <f>'h16'!C19</f>
        <v>4</v>
      </c>
      <c r="E26" s="277">
        <f>'h16'!D19</f>
        <v>3</v>
      </c>
      <c r="F26" s="277">
        <f>'h16'!E19</f>
        <v>2</v>
      </c>
    </row>
    <row r="27" spans="1:6" x14ac:dyDescent="0.25">
      <c r="A27" s="110" t="s">
        <v>296</v>
      </c>
      <c r="B27" s="65" t="s">
        <v>46</v>
      </c>
      <c r="C27" s="277">
        <f>'h16'!B20</f>
        <v>0</v>
      </c>
      <c r="D27" s="277">
        <f>'h16'!C20</f>
        <v>3</v>
      </c>
      <c r="E27" s="277">
        <f>'h16'!D20</f>
        <v>2</v>
      </c>
      <c r="F27" s="277">
        <f>'h16'!E20</f>
        <v>1</v>
      </c>
    </row>
    <row r="28" spans="1:6" x14ac:dyDescent="0.25">
      <c r="A28" s="110" t="s">
        <v>297</v>
      </c>
      <c r="B28" s="65" t="s">
        <v>47</v>
      </c>
      <c r="C28" s="277">
        <f>'h16'!B21</f>
        <v>0</v>
      </c>
      <c r="D28" s="277">
        <f>'h16'!C21</f>
        <v>0</v>
      </c>
      <c r="E28" s="277">
        <f>'h16'!D21</f>
        <v>0</v>
      </c>
      <c r="F28" s="277">
        <f>'h16'!E21</f>
        <v>1</v>
      </c>
    </row>
    <row r="29" spans="1:6" x14ac:dyDescent="0.25">
      <c r="A29" s="110" t="s">
        <v>292</v>
      </c>
      <c r="B29" s="65" t="s">
        <v>48</v>
      </c>
      <c r="C29" s="277">
        <f>'h16'!B22</f>
        <v>0</v>
      </c>
      <c r="D29" s="277">
        <f>'h16'!C22</f>
        <v>0</v>
      </c>
      <c r="E29" s="277">
        <f>'h16'!D22</f>
        <v>0</v>
      </c>
      <c r="F29" s="277">
        <f>'h16'!E22</f>
        <v>0</v>
      </c>
    </row>
    <row r="30" spans="1:6" x14ac:dyDescent="0.25">
      <c r="A30" s="110" t="s">
        <v>298</v>
      </c>
      <c r="B30" s="65" t="s">
        <v>49</v>
      </c>
      <c r="C30" s="277">
        <f>'h16'!B23</f>
        <v>4</v>
      </c>
      <c r="D30" s="277">
        <f>'h16'!C23</f>
        <v>5</v>
      </c>
      <c r="E30" s="277">
        <f>'h16'!D23</f>
        <v>2</v>
      </c>
      <c r="F30" s="277">
        <f>'h16'!E23</f>
        <v>2</v>
      </c>
    </row>
    <row r="31" spans="1:6" x14ac:dyDescent="0.25">
      <c r="A31" s="110" t="s">
        <v>315</v>
      </c>
      <c r="B31" s="65" t="s">
        <v>50</v>
      </c>
      <c r="C31" s="277">
        <f>'h16'!B24</f>
        <v>7</v>
      </c>
      <c r="D31" s="277">
        <f>'h16'!C24</f>
        <v>3</v>
      </c>
      <c r="E31" s="277">
        <f>'h16'!D24</f>
        <v>6</v>
      </c>
      <c r="F31" s="277">
        <f>'h16'!E24</f>
        <v>3</v>
      </c>
    </row>
    <row r="32" spans="1:6" x14ac:dyDescent="0.25">
      <c r="A32" s="110" t="s">
        <v>299</v>
      </c>
      <c r="B32" s="65" t="s">
        <v>51</v>
      </c>
      <c r="C32" s="277">
        <f>'h16'!B25</f>
        <v>0</v>
      </c>
      <c r="D32" s="277">
        <f>'h16'!C25</f>
        <v>0</v>
      </c>
      <c r="E32" s="277">
        <f>'h16'!D25</f>
        <v>0</v>
      </c>
      <c r="F32" s="277">
        <f>'h16'!E25</f>
        <v>0</v>
      </c>
    </row>
    <row r="33" spans="1:11" x14ac:dyDescent="0.25">
      <c r="A33" s="110" t="s">
        <v>300</v>
      </c>
      <c r="B33" s="65" t="s">
        <v>52</v>
      </c>
      <c r="C33" s="277">
        <f>'h16'!B26</f>
        <v>0</v>
      </c>
      <c r="D33" s="277">
        <f>'h16'!C26</f>
        <v>0</v>
      </c>
      <c r="E33" s="277">
        <f>'h16'!D26</f>
        <v>0</v>
      </c>
      <c r="F33" s="277">
        <f>'h16'!E26</f>
        <v>0</v>
      </c>
    </row>
    <row r="34" spans="1:11" x14ac:dyDescent="0.25">
      <c r="A34" s="110" t="s">
        <v>310</v>
      </c>
      <c r="B34" s="65" t="s">
        <v>53</v>
      </c>
      <c r="C34" s="277">
        <f>'h16'!B27</f>
        <v>3</v>
      </c>
      <c r="D34" s="277">
        <f>'h16'!C27</f>
        <v>2</v>
      </c>
      <c r="E34" s="277">
        <f>'h16'!D27</f>
        <v>1</v>
      </c>
      <c r="F34" s="277">
        <f>'h16'!E27</f>
        <v>1</v>
      </c>
    </row>
    <row r="35" spans="1:11" x14ac:dyDescent="0.25">
      <c r="A35" s="110" t="s">
        <v>301</v>
      </c>
      <c r="B35" s="65" t="s">
        <v>54</v>
      </c>
      <c r="C35" s="277">
        <f>'h16'!B28</f>
        <v>0</v>
      </c>
      <c r="D35" s="277">
        <f>'h16'!C28</f>
        <v>2</v>
      </c>
      <c r="E35" s="277">
        <f>'h16'!D28</f>
        <v>3</v>
      </c>
      <c r="F35" s="277">
        <f>'h16'!E28</f>
        <v>3</v>
      </c>
    </row>
    <row r="36" spans="1:11" x14ac:dyDescent="0.25">
      <c r="A36" s="110" t="s">
        <v>302</v>
      </c>
      <c r="B36" s="65" t="s">
        <v>55</v>
      </c>
      <c r="C36" s="277">
        <f>'h16'!B29</f>
        <v>0</v>
      </c>
      <c r="D36" s="277">
        <f>'h16'!C29</f>
        <v>0</v>
      </c>
      <c r="E36" s="277">
        <f>'h16'!D29</f>
        <v>0</v>
      </c>
      <c r="F36" s="277">
        <f>'h16'!E29</f>
        <v>0</v>
      </c>
    </row>
    <row r="37" spans="1:11" x14ac:dyDescent="0.25">
      <c r="A37" s="110" t="s">
        <v>303</v>
      </c>
      <c r="B37" s="65" t="s">
        <v>56</v>
      </c>
      <c r="C37" s="277">
        <f>'h16'!B30</f>
        <v>3</v>
      </c>
      <c r="D37" s="277">
        <f>'h16'!C30</f>
        <v>0</v>
      </c>
      <c r="E37" s="277">
        <f>'h16'!D30</f>
        <v>1</v>
      </c>
      <c r="F37" s="277">
        <f>'h16'!E30</f>
        <v>0</v>
      </c>
    </row>
    <row r="38" spans="1:11" x14ac:dyDescent="0.25">
      <c r="A38" s="110" t="s">
        <v>304</v>
      </c>
      <c r="B38" s="65" t="s">
        <v>57</v>
      </c>
      <c r="C38" s="277">
        <f>'h16'!B31</f>
        <v>5</v>
      </c>
      <c r="D38" s="277">
        <f>'h16'!C31</f>
        <v>2</v>
      </c>
      <c r="E38" s="277">
        <f>'h16'!D31</f>
        <v>0</v>
      </c>
      <c r="F38" s="277">
        <f>'h16'!E31</f>
        <v>1</v>
      </c>
    </row>
    <row r="39" spans="1:11" x14ac:dyDescent="0.25">
      <c r="A39" s="110" t="s">
        <v>305</v>
      </c>
      <c r="B39" s="65" t="s">
        <v>58</v>
      </c>
      <c r="C39" s="277">
        <f>'h16'!B32</f>
        <v>2</v>
      </c>
      <c r="D39" s="277">
        <f>'h16'!C32</f>
        <v>3</v>
      </c>
      <c r="E39" s="277">
        <f>'h16'!D32</f>
        <v>0</v>
      </c>
      <c r="F39" s="277">
        <f>'h16'!E32</f>
        <v>1</v>
      </c>
    </row>
    <row r="40" spans="1:11" x14ac:dyDescent="0.25">
      <c r="A40" s="110" t="s">
        <v>311</v>
      </c>
      <c r="B40" s="65" t="s">
        <v>59</v>
      </c>
      <c r="C40" s="277">
        <f>'h16'!B33</f>
        <v>2</v>
      </c>
      <c r="D40" s="277">
        <f>'h16'!C33</f>
        <v>1</v>
      </c>
      <c r="E40" s="277">
        <f>'h16'!D33</f>
        <v>0</v>
      </c>
      <c r="F40" s="277">
        <f>'h16'!E33</f>
        <v>2</v>
      </c>
    </row>
    <row r="41" spans="1:11" ht="15" customHeight="1" x14ac:dyDescent="0.25">
      <c r="A41" s="110" t="s">
        <v>312</v>
      </c>
      <c r="B41" s="65" t="s">
        <v>60</v>
      </c>
      <c r="C41" s="277">
        <f>'h16'!B34</f>
        <v>4</v>
      </c>
      <c r="D41" s="277">
        <f>'h16'!C34</f>
        <v>3</v>
      </c>
      <c r="E41" s="277">
        <f>'h16'!D34</f>
        <v>4</v>
      </c>
      <c r="F41" s="277">
        <f>'h16'!E34</f>
        <v>5</v>
      </c>
    </row>
    <row r="42" spans="1:11" ht="18.75" customHeight="1" thickBot="1" x14ac:dyDescent="0.3">
      <c r="A42" s="278"/>
      <c r="B42" s="278" t="s">
        <v>840</v>
      </c>
      <c r="C42" s="121">
        <f>SUM(C10:C41)</f>
        <v>90</v>
      </c>
      <c r="D42" s="121">
        <f t="shared" ref="D42:F42" si="0">SUM(D10:D41)</f>
        <v>78</v>
      </c>
      <c r="E42" s="121">
        <f t="shared" si="0"/>
        <v>53</v>
      </c>
      <c r="F42" s="121">
        <f t="shared" si="0"/>
        <v>72</v>
      </c>
    </row>
    <row r="43" spans="1:11" x14ac:dyDescent="0.25">
      <c r="B43" s="279"/>
      <c r="C43" s="91"/>
      <c r="D43" s="384"/>
      <c r="E43" s="36"/>
      <c r="F43" s="385"/>
    </row>
    <row r="44" spans="1:11" x14ac:dyDescent="0.25">
      <c r="A44" s="526" t="s">
        <v>8</v>
      </c>
      <c r="C44" s="530"/>
      <c r="D44" s="531"/>
      <c r="E44" s="363"/>
      <c r="F44" s="532"/>
    </row>
    <row r="45" spans="1:11" ht="30.75" customHeight="1" x14ac:dyDescent="0.25">
      <c r="A45" s="1023" t="s">
        <v>847</v>
      </c>
      <c r="B45" s="1023"/>
      <c r="C45" s="1023"/>
      <c r="D45" s="1023"/>
      <c r="E45" s="1023"/>
      <c r="F45" s="1023"/>
      <c r="G45" s="1023"/>
      <c r="H45" s="977"/>
      <c r="I45" s="977"/>
      <c r="J45" s="977"/>
      <c r="K45" s="977"/>
    </row>
  </sheetData>
  <sheetProtection algorithmName="SHA-512" hashValue="igOXCQPdt9cJx1UQLFntv97cI5GL+HGPcP5Rc9lxn79R4ZnqrN/H4XOIsf0ctXc1ch7eA21LLtUpzE9VdXDzrg==" saltValue="9tRp2GUbxiW9nxU6IQ7moQ==" spinCount="100000" sheet="1" objects="1" scenarios="1"/>
  <mergeCells count="3">
    <mergeCell ref="A1:C1"/>
    <mergeCell ref="A4:K4"/>
    <mergeCell ref="A45:G45"/>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9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59999389629810485"/>
    <pageSetUpPr fitToPage="1"/>
  </sheetPr>
  <dimension ref="A1:F33"/>
  <sheetViews>
    <sheetView showGridLines="0" zoomScaleNormal="100" zoomScaleSheetLayoutView="100" workbookViewId="0">
      <pane ySplit="2" topLeftCell="A3" activePane="bottomLeft" state="frozen"/>
      <selection sqref="A1:C1"/>
      <selection pane="bottomLeft" sqref="A1:C1"/>
    </sheetView>
  </sheetViews>
  <sheetFormatPr defaultRowHeight="15" x14ac:dyDescent="0.25"/>
  <cols>
    <col min="1" max="1" width="17.7109375" customWidth="1"/>
    <col min="2" max="2" width="21.5703125" bestFit="1" customWidth="1"/>
    <col min="3" max="3" width="19.140625" bestFit="1" customWidth="1"/>
    <col min="4" max="4" width="24" bestFit="1" customWidth="1"/>
    <col min="5" max="5" width="17.85546875" customWidth="1"/>
    <col min="6" max="6" width="15.7109375" customWidth="1"/>
    <col min="7" max="7" width="11.7109375" customWidth="1"/>
    <col min="8" max="8" width="7.5703125" bestFit="1" customWidth="1"/>
    <col min="9" max="9" width="21.5703125" bestFit="1" customWidth="1"/>
    <col min="10" max="10" width="19.140625" bestFit="1" customWidth="1"/>
    <col min="11" max="11" width="24" bestFit="1" customWidth="1"/>
    <col min="12" max="12" width="9.5703125" bestFit="1" customWidth="1"/>
    <col min="13" max="13" width="9.85546875" bestFit="1" customWidth="1"/>
    <col min="14" max="14" width="5.5703125" bestFit="1" customWidth="1"/>
  </cols>
  <sheetData>
    <row r="1" spans="1:6" ht="15.75" x14ac:dyDescent="0.25">
      <c r="A1" s="993" t="s">
        <v>611</v>
      </c>
      <c r="B1" s="993"/>
      <c r="C1" s="993"/>
    </row>
    <row r="2" spans="1:6" ht="15.75" x14ac:dyDescent="0.25">
      <c r="A2" s="790" t="s">
        <v>598</v>
      </c>
      <c r="B2" s="792"/>
      <c r="C2" s="792"/>
    </row>
    <row r="3" spans="1:6" ht="15.75" x14ac:dyDescent="0.25">
      <c r="D3" s="243"/>
      <c r="E3" s="243"/>
      <c r="F3" s="243"/>
    </row>
    <row r="4" spans="1:6" ht="15.75" customHeight="1" x14ac:dyDescent="0.25">
      <c r="A4" s="994" t="s">
        <v>607</v>
      </c>
      <c r="B4" s="994"/>
      <c r="C4" s="994"/>
      <c r="D4" s="994"/>
      <c r="E4" s="994"/>
      <c r="F4" s="994"/>
    </row>
    <row r="5" spans="1:6" ht="15.75" customHeight="1" x14ac:dyDescent="0.25">
      <c r="A5" t="s">
        <v>368</v>
      </c>
      <c r="B5" t="s">
        <v>741</v>
      </c>
      <c r="C5" s="795"/>
      <c r="D5" s="795"/>
      <c r="E5" s="795"/>
      <c r="F5" s="795"/>
    </row>
    <row r="6" spans="1:6" ht="15.75" customHeight="1" x14ac:dyDescent="0.25">
      <c r="A6" t="s">
        <v>369</v>
      </c>
      <c r="B6" t="s">
        <v>371</v>
      </c>
      <c r="C6" s="795"/>
      <c r="D6" s="795"/>
      <c r="E6" s="795"/>
      <c r="F6" s="795"/>
    </row>
    <row r="7" spans="1:6" ht="15.75" customHeight="1" x14ac:dyDescent="0.25">
      <c r="A7" t="s">
        <v>370</v>
      </c>
      <c r="B7" t="s">
        <v>372</v>
      </c>
      <c r="C7" s="795"/>
      <c r="D7" s="795"/>
      <c r="E7" s="795"/>
      <c r="F7" s="795"/>
    </row>
    <row r="8" spans="1:6" ht="15.75" customHeight="1" x14ac:dyDescent="0.25">
      <c r="A8" s="795"/>
      <c r="B8" s="795"/>
      <c r="C8" s="795"/>
      <c r="D8" s="795"/>
      <c r="E8" s="795"/>
      <c r="F8" s="795"/>
    </row>
    <row r="9" spans="1:6" x14ac:dyDescent="0.25">
      <c r="A9" s="79"/>
      <c r="B9" s="144"/>
      <c r="C9" s="292"/>
      <c r="D9" s="420"/>
      <c r="E9" s="143" t="s">
        <v>6</v>
      </c>
      <c r="F9" s="143"/>
    </row>
    <row r="10" spans="1:6" x14ac:dyDescent="0.25">
      <c r="A10" s="236" t="s">
        <v>1</v>
      </c>
      <c r="B10" s="143" t="s">
        <v>122</v>
      </c>
      <c r="C10" s="143" t="s">
        <v>608</v>
      </c>
      <c r="D10" s="143" t="s">
        <v>28</v>
      </c>
      <c r="E10" s="244" t="s">
        <v>29</v>
      </c>
      <c r="F10" s="574" t="s">
        <v>26</v>
      </c>
    </row>
    <row r="11" spans="1:6" x14ac:dyDescent="0.25">
      <c r="A11" s="224" t="str">
        <f>'T13'!$A5</f>
        <v>2011-12</v>
      </c>
      <c r="B11" s="245">
        <f>'T13'!B5</f>
        <v>74</v>
      </c>
      <c r="C11" s="245">
        <f>'T13'!D5</f>
        <v>4</v>
      </c>
      <c r="D11" s="245">
        <f>'T13'!C5</f>
        <v>241</v>
      </c>
      <c r="E11" s="245">
        <f>'T13'!E5</f>
        <v>53</v>
      </c>
      <c r="F11" s="575">
        <f t="shared" ref="F11:F18" si="0">SUM(B11:E11)</f>
        <v>372</v>
      </c>
    </row>
    <row r="12" spans="1:6" x14ac:dyDescent="0.25">
      <c r="A12" s="224" t="str">
        <f>'T13'!$A6</f>
        <v>2012-13</v>
      </c>
      <c r="B12" s="245">
        <f>'T13'!B6</f>
        <v>74</v>
      </c>
      <c r="C12" s="245">
        <f>'T13'!D6</f>
        <v>4</v>
      </c>
      <c r="D12" s="245">
        <f>'T13'!C6</f>
        <v>236</v>
      </c>
      <c r="E12" s="245">
        <f>'T13'!E6</f>
        <v>43</v>
      </c>
      <c r="F12" s="575">
        <f t="shared" si="0"/>
        <v>357</v>
      </c>
    </row>
    <row r="13" spans="1:6" x14ac:dyDescent="0.25">
      <c r="A13" s="224" t="str">
        <f>'T13'!$A7</f>
        <v>2013-14</v>
      </c>
      <c r="B13" s="245">
        <f>'T13'!B7</f>
        <v>74</v>
      </c>
      <c r="C13" s="245">
        <f>'T13'!D7</f>
        <v>3</v>
      </c>
      <c r="D13" s="245">
        <f>'T13'!C7</f>
        <v>237</v>
      </c>
      <c r="E13" s="245">
        <f>'T13'!E7</f>
        <v>43</v>
      </c>
      <c r="F13" s="575">
        <f t="shared" si="0"/>
        <v>357</v>
      </c>
    </row>
    <row r="14" spans="1:6" x14ac:dyDescent="0.25">
      <c r="A14" s="224" t="str">
        <f>'T13'!$A8</f>
        <v>2014-15</v>
      </c>
      <c r="B14" s="245">
        <f>'T13'!B8</f>
        <v>74</v>
      </c>
      <c r="C14" s="245">
        <f>'T13'!D8</f>
        <v>0</v>
      </c>
      <c r="D14" s="245">
        <f>'T13'!C8</f>
        <v>240</v>
      </c>
      <c r="E14" s="245">
        <f>'T13'!E8</f>
        <v>42</v>
      </c>
      <c r="F14" s="575">
        <f t="shared" si="0"/>
        <v>356</v>
      </c>
    </row>
    <row r="15" spans="1:6" x14ac:dyDescent="0.25">
      <c r="A15" s="224" t="str">
        <f>'T13'!$A9</f>
        <v>2015-16</v>
      </c>
      <c r="B15" s="245">
        <f>'T13'!B9</f>
        <v>74</v>
      </c>
      <c r="C15" s="245">
        <f>'T13'!D9</f>
        <v>0</v>
      </c>
      <c r="D15" s="245">
        <f>'T13'!C9</f>
        <v>240</v>
      </c>
      <c r="E15" s="245">
        <f>'T13'!E9</f>
        <v>42</v>
      </c>
      <c r="F15" s="575">
        <f t="shared" si="0"/>
        <v>356</v>
      </c>
    </row>
    <row r="16" spans="1:6" x14ac:dyDescent="0.25">
      <c r="A16" s="224" t="str">
        <f>'T13'!$A10</f>
        <v>2016-17</v>
      </c>
      <c r="B16" s="245">
        <f>'T13'!B10</f>
        <v>74</v>
      </c>
      <c r="C16" s="245">
        <f>'T13'!D10</f>
        <v>0</v>
      </c>
      <c r="D16" s="245">
        <f>'T13'!C10</f>
        <v>240</v>
      </c>
      <c r="E16" s="245">
        <f>'T13'!E10</f>
        <v>42</v>
      </c>
      <c r="F16" s="575">
        <f t="shared" si="0"/>
        <v>356</v>
      </c>
    </row>
    <row r="17" spans="1:6" x14ac:dyDescent="0.25">
      <c r="A17" s="224" t="str">
        <f>'T13'!$A11</f>
        <v>2017-18</v>
      </c>
      <c r="B17" s="245">
        <f>'T13'!B11</f>
        <v>74</v>
      </c>
      <c r="C17" s="245">
        <f>'T13'!D11</f>
        <v>0</v>
      </c>
      <c r="D17" s="245">
        <f>'T13'!C11</f>
        <v>240</v>
      </c>
      <c r="E17" s="245">
        <f>'T13'!E11</f>
        <v>42</v>
      </c>
      <c r="F17" s="575">
        <f t="shared" si="0"/>
        <v>356</v>
      </c>
    </row>
    <row r="18" spans="1:6" ht="15.75" thickBot="1" x14ac:dyDescent="0.3">
      <c r="A18" s="238" t="str">
        <f>'T13'!$A12</f>
        <v>2018-19</v>
      </c>
      <c r="B18" s="247">
        <f>'T13'!B12</f>
        <v>74</v>
      </c>
      <c r="C18" s="247">
        <f>'T13'!D12</f>
        <v>0</v>
      </c>
      <c r="D18" s="247">
        <f>'T13'!C12</f>
        <v>240</v>
      </c>
      <c r="E18" s="247">
        <f>'T13'!E12</f>
        <v>42</v>
      </c>
      <c r="F18" s="589">
        <f t="shared" si="0"/>
        <v>356</v>
      </c>
    </row>
    <row r="19" spans="1:6" x14ac:dyDescent="0.25">
      <c r="A19" s="79"/>
      <c r="B19" s="79"/>
      <c r="C19" s="79"/>
      <c r="D19" s="79"/>
      <c r="E19" s="79"/>
      <c r="F19" s="79"/>
    </row>
    <row r="20" spans="1:6" x14ac:dyDescent="0.25">
      <c r="A20" s="79"/>
      <c r="B20" s="144"/>
      <c r="C20" s="144"/>
      <c r="D20" s="420"/>
      <c r="E20" s="162" t="s">
        <v>7</v>
      </c>
      <c r="F20" s="162"/>
    </row>
    <row r="21" spans="1:6" x14ac:dyDescent="0.25">
      <c r="A21" s="236" t="s">
        <v>1</v>
      </c>
      <c r="B21" s="143" t="s">
        <v>122</v>
      </c>
      <c r="C21" s="143" t="s">
        <v>608</v>
      </c>
      <c r="D21" s="143" t="s">
        <v>28</v>
      </c>
      <c r="E21" s="244" t="s">
        <v>29</v>
      </c>
      <c r="F21" s="574" t="s">
        <v>26</v>
      </c>
    </row>
    <row r="22" spans="1:6" x14ac:dyDescent="0.25">
      <c r="A22" s="224" t="str">
        <f>A11</f>
        <v>2011-12</v>
      </c>
      <c r="B22" s="227">
        <f t="shared" ref="B22:E29" si="1">B11/$F11%</f>
        <v>19.892473118279568</v>
      </c>
      <c r="C22" s="227">
        <f t="shared" si="1"/>
        <v>1.075268817204301</v>
      </c>
      <c r="D22" s="227">
        <f t="shared" si="1"/>
        <v>64.784946236559136</v>
      </c>
      <c r="E22" s="227">
        <f t="shared" si="1"/>
        <v>14.247311827956988</v>
      </c>
      <c r="F22" s="590">
        <f t="shared" ref="F22:F29" si="2">SUM(B22:E22)</f>
        <v>100</v>
      </c>
    </row>
    <row r="23" spans="1:6" x14ac:dyDescent="0.25">
      <c r="A23" s="224" t="str">
        <f>A12</f>
        <v>2012-13</v>
      </c>
      <c r="B23" s="227">
        <f t="shared" si="1"/>
        <v>20.728291316526612</v>
      </c>
      <c r="C23" s="227">
        <f t="shared" si="1"/>
        <v>1.1204481792717087</v>
      </c>
      <c r="D23" s="227">
        <f t="shared" si="1"/>
        <v>66.106442577030819</v>
      </c>
      <c r="E23" s="227">
        <f t="shared" si="1"/>
        <v>12.044817927170868</v>
      </c>
      <c r="F23" s="590">
        <f t="shared" si="2"/>
        <v>100</v>
      </c>
    </row>
    <row r="24" spans="1:6" x14ac:dyDescent="0.25">
      <c r="A24" s="224" t="str">
        <f>A13</f>
        <v>2013-14</v>
      </c>
      <c r="B24" s="227">
        <f t="shared" si="1"/>
        <v>20.728291316526612</v>
      </c>
      <c r="C24" s="227">
        <f t="shared" si="1"/>
        <v>0.84033613445378152</v>
      </c>
      <c r="D24" s="227">
        <f t="shared" si="1"/>
        <v>66.386554621848745</v>
      </c>
      <c r="E24" s="227">
        <f t="shared" si="1"/>
        <v>12.044817927170868</v>
      </c>
      <c r="F24" s="590">
        <f t="shared" si="2"/>
        <v>100</v>
      </c>
    </row>
    <row r="25" spans="1:6" x14ac:dyDescent="0.25">
      <c r="A25" s="224" t="str">
        <f>A14</f>
        <v>2014-15</v>
      </c>
      <c r="B25" s="227">
        <f t="shared" si="1"/>
        <v>20.786516853932582</v>
      </c>
      <c r="C25" s="227">
        <f t="shared" si="1"/>
        <v>0</v>
      </c>
      <c r="D25" s="227">
        <f t="shared" si="1"/>
        <v>67.415730337078656</v>
      </c>
      <c r="E25" s="227">
        <f t="shared" si="1"/>
        <v>11.797752808988763</v>
      </c>
      <c r="F25" s="590">
        <f t="shared" si="2"/>
        <v>100</v>
      </c>
    </row>
    <row r="26" spans="1:6" x14ac:dyDescent="0.25">
      <c r="A26" s="224" t="str">
        <f t="shared" ref="A26:A29" si="3">A15</f>
        <v>2015-16</v>
      </c>
      <c r="B26" s="227">
        <f t="shared" si="1"/>
        <v>20.786516853932582</v>
      </c>
      <c r="C26" s="227">
        <f t="shared" si="1"/>
        <v>0</v>
      </c>
      <c r="D26" s="227">
        <f t="shared" si="1"/>
        <v>67.415730337078656</v>
      </c>
      <c r="E26" s="227">
        <f t="shared" si="1"/>
        <v>11.797752808988763</v>
      </c>
      <c r="F26" s="590">
        <f t="shared" si="2"/>
        <v>100</v>
      </c>
    </row>
    <row r="27" spans="1:6" x14ac:dyDescent="0.25">
      <c r="A27" s="224" t="str">
        <f t="shared" si="3"/>
        <v>2016-17</v>
      </c>
      <c r="B27" s="227">
        <f t="shared" si="1"/>
        <v>20.786516853932582</v>
      </c>
      <c r="C27" s="227">
        <f t="shared" si="1"/>
        <v>0</v>
      </c>
      <c r="D27" s="227">
        <f t="shared" si="1"/>
        <v>67.415730337078656</v>
      </c>
      <c r="E27" s="227">
        <f t="shared" si="1"/>
        <v>11.797752808988763</v>
      </c>
      <c r="F27" s="590">
        <f t="shared" si="2"/>
        <v>100</v>
      </c>
    </row>
    <row r="28" spans="1:6" x14ac:dyDescent="0.25">
      <c r="A28" s="224" t="str">
        <f t="shared" si="3"/>
        <v>2017-18</v>
      </c>
      <c r="B28" s="227">
        <f t="shared" si="1"/>
        <v>20.786516853932582</v>
      </c>
      <c r="C28" s="227">
        <f t="shared" si="1"/>
        <v>0</v>
      </c>
      <c r="D28" s="227">
        <f t="shared" si="1"/>
        <v>67.415730337078656</v>
      </c>
      <c r="E28" s="227">
        <f t="shared" si="1"/>
        <v>11.797752808988763</v>
      </c>
      <c r="F28" s="590">
        <f t="shared" si="2"/>
        <v>100</v>
      </c>
    </row>
    <row r="29" spans="1:6" ht="15.75" thickBot="1" x14ac:dyDescent="0.3">
      <c r="A29" s="238" t="str">
        <f t="shared" si="3"/>
        <v>2018-19</v>
      </c>
      <c r="B29" s="248">
        <f t="shared" si="1"/>
        <v>20.786516853932582</v>
      </c>
      <c r="C29" s="248">
        <f t="shared" si="1"/>
        <v>0</v>
      </c>
      <c r="D29" s="248">
        <f t="shared" si="1"/>
        <v>67.415730337078656</v>
      </c>
      <c r="E29" s="248">
        <f t="shared" si="1"/>
        <v>11.797752808988763</v>
      </c>
      <c r="F29" s="591">
        <f t="shared" si="2"/>
        <v>100</v>
      </c>
    </row>
    <row r="30" spans="1:6" x14ac:dyDescent="0.25">
      <c r="A30" s="224"/>
      <c r="B30" s="379"/>
      <c r="C30" s="379"/>
      <c r="D30" s="379"/>
      <c r="E30" s="379"/>
      <c r="F30" s="380"/>
    </row>
    <row r="31" spans="1:6" x14ac:dyDescent="0.25">
      <c r="A31" s="502" t="s">
        <v>8</v>
      </c>
      <c r="B31" s="501"/>
      <c r="C31" s="501"/>
      <c r="D31" s="501"/>
      <c r="E31" s="501"/>
      <c r="F31" s="501"/>
    </row>
    <row r="32" spans="1:6" ht="30" customHeight="1" x14ac:dyDescent="0.25">
      <c r="A32" s="996" t="s">
        <v>825</v>
      </c>
      <c r="B32" s="996"/>
      <c r="C32" s="996"/>
      <c r="D32" s="996"/>
      <c r="E32" s="996"/>
      <c r="F32" s="996"/>
    </row>
    <row r="33" spans="1:6" ht="60" customHeight="1" x14ac:dyDescent="0.25">
      <c r="A33" s="997" t="s">
        <v>609</v>
      </c>
      <c r="B33" s="997"/>
      <c r="C33" s="997"/>
      <c r="D33" s="997"/>
      <c r="E33" s="997"/>
      <c r="F33" s="997"/>
    </row>
  </sheetData>
  <sheetProtection algorithmName="SHA-512" hashValue="qw92tKk4ZCFzYokpCEoeAYdYizNjAPGxAPTwVVjfSLBd8A/ym3VJK06QNlJpLZw+Xpxoa1IqD+OAWaowClFSNg==" saltValue="aTWGn3cTQdjUBEXSp9bUKA==" spinCount="100000" sheet="1" objects="1" scenarios="1"/>
  <mergeCells count="4">
    <mergeCell ref="A4:F4"/>
    <mergeCell ref="A33:F33"/>
    <mergeCell ref="A32:F32"/>
    <mergeCell ref="A1:C1"/>
  </mergeCells>
  <hyperlinks>
    <hyperlink ref="A2" location="'Table of Contents'!A1" display="Back to Table of Contents"/>
  </hyperlinks>
  <pageMargins left="0.70866141732283472" right="0.70866141732283472" top="0.74803149606299213" bottom="0.74803149606299213" header="0.31496062992125984" footer="0.31496062992125984"/>
  <pageSetup scale="76"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5" tint="0.39997558519241921"/>
  </sheetPr>
  <dimension ref="A2:E38"/>
  <sheetViews>
    <sheetView workbookViewId="0">
      <selection activeCell="Q33" sqref="Q33"/>
    </sheetView>
  </sheetViews>
  <sheetFormatPr defaultRowHeight="15" x14ac:dyDescent="0.25"/>
  <cols>
    <col min="1" max="1" width="21.85546875" bestFit="1" customWidth="1"/>
    <col min="2" max="5" width="14.42578125" customWidth="1"/>
    <col min="6" max="27" width="10" bestFit="1" customWidth="1"/>
    <col min="28" max="28" width="14.42578125" bestFit="1" customWidth="1"/>
    <col min="29" max="59" width="10" bestFit="1" customWidth="1"/>
    <col min="60" max="60" width="14.42578125" bestFit="1" customWidth="1"/>
    <col min="61" max="91" width="10" bestFit="1" customWidth="1"/>
    <col min="92" max="92" width="14.42578125" bestFit="1" customWidth="1"/>
    <col min="93" max="123" width="10" bestFit="1" customWidth="1"/>
    <col min="124" max="127" width="19.42578125" bestFit="1" customWidth="1"/>
  </cols>
  <sheetData>
    <row r="2" spans="1:5" x14ac:dyDescent="0.25">
      <c r="A2" s="569" t="s">
        <v>250</v>
      </c>
      <c r="B2" t="s">
        <v>496</v>
      </c>
      <c r="C2" t="s">
        <v>367</v>
      </c>
      <c r="D2" t="s">
        <v>342</v>
      </c>
      <c r="E2" t="s">
        <v>497</v>
      </c>
    </row>
    <row r="3" spans="1:5" x14ac:dyDescent="0.25">
      <c r="A3" s="986" t="s">
        <v>31</v>
      </c>
      <c r="B3" s="571">
        <v>8</v>
      </c>
      <c r="C3" s="571">
        <v>1</v>
      </c>
      <c r="D3" s="571">
        <v>1</v>
      </c>
      <c r="E3" s="571">
        <v>1</v>
      </c>
    </row>
    <row r="4" spans="1:5" x14ac:dyDescent="0.25">
      <c r="A4" s="986" t="s">
        <v>32</v>
      </c>
      <c r="B4" s="571">
        <v>1</v>
      </c>
      <c r="C4" s="571">
        <v>3</v>
      </c>
      <c r="D4" s="571">
        <v>1</v>
      </c>
      <c r="E4" s="571">
        <v>1</v>
      </c>
    </row>
    <row r="5" spans="1:5" x14ac:dyDescent="0.25">
      <c r="A5" s="986" t="s">
        <v>33</v>
      </c>
      <c r="B5" s="571"/>
      <c r="C5" s="571"/>
      <c r="D5" s="571"/>
      <c r="E5" s="571"/>
    </row>
    <row r="6" spans="1:5" x14ac:dyDescent="0.25">
      <c r="A6" s="986" t="s">
        <v>34</v>
      </c>
      <c r="B6" s="571">
        <v>1</v>
      </c>
      <c r="C6" s="571">
        <v>3</v>
      </c>
      <c r="D6" s="571"/>
      <c r="E6" s="571">
        <v>1</v>
      </c>
    </row>
    <row r="7" spans="1:5" x14ac:dyDescent="0.25">
      <c r="A7" s="986" t="s">
        <v>262</v>
      </c>
      <c r="B7" s="571">
        <v>6</v>
      </c>
      <c r="C7" s="571">
        <v>5</v>
      </c>
      <c r="D7" s="571">
        <v>2</v>
      </c>
      <c r="E7" s="571">
        <v>8</v>
      </c>
    </row>
    <row r="8" spans="1:5" x14ac:dyDescent="0.25">
      <c r="A8" s="986" t="s">
        <v>35</v>
      </c>
      <c r="B8" s="571">
        <v>1</v>
      </c>
      <c r="C8" s="571"/>
      <c r="D8" s="571"/>
      <c r="E8" s="571"/>
    </row>
    <row r="9" spans="1:5" x14ac:dyDescent="0.25">
      <c r="A9" s="986" t="s">
        <v>36</v>
      </c>
      <c r="B9" s="571">
        <v>2</v>
      </c>
      <c r="C9" s="571">
        <v>1</v>
      </c>
      <c r="D9" s="571"/>
      <c r="E9" s="571"/>
    </row>
    <row r="10" spans="1:5" x14ac:dyDescent="0.25">
      <c r="A10" s="986" t="s">
        <v>37</v>
      </c>
      <c r="B10" s="571">
        <v>2</v>
      </c>
      <c r="C10" s="571">
        <v>9</v>
      </c>
      <c r="D10" s="571">
        <v>3</v>
      </c>
      <c r="E10" s="571">
        <v>3</v>
      </c>
    </row>
    <row r="11" spans="1:5" x14ac:dyDescent="0.25">
      <c r="A11" s="986" t="s">
        <v>38</v>
      </c>
      <c r="B11" s="571">
        <v>3</v>
      </c>
      <c r="C11" s="571">
        <v>1</v>
      </c>
      <c r="D11" s="571">
        <v>1</v>
      </c>
      <c r="E11" s="571">
        <v>3</v>
      </c>
    </row>
    <row r="12" spans="1:5" x14ac:dyDescent="0.25">
      <c r="A12" s="986" t="s">
        <v>39</v>
      </c>
      <c r="B12" s="571">
        <v>1</v>
      </c>
      <c r="C12" s="571">
        <v>3</v>
      </c>
      <c r="D12" s="571"/>
      <c r="E12" s="571">
        <v>4</v>
      </c>
    </row>
    <row r="13" spans="1:5" x14ac:dyDescent="0.25">
      <c r="A13" s="986" t="s">
        <v>40</v>
      </c>
      <c r="B13" s="571">
        <v>2</v>
      </c>
      <c r="C13" s="571">
        <v>2</v>
      </c>
      <c r="D13" s="571"/>
      <c r="E13" s="571"/>
    </row>
    <row r="14" spans="1:5" x14ac:dyDescent="0.25">
      <c r="A14" s="986" t="s">
        <v>41</v>
      </c>
      <c r="B14" s="571"/>
      <c r="C14" s="571"/>
      <c r="D14" s="571"/>
      <c r="E14" s="571"/>
    </row>
    <row r="15" spans="1:5" x14ac:dyDescent="0.25">
      <c r="A15" s="986" t="s">
        <v>42</v>
      </c>
      <c r="B15" s="571">
        <v>5</v>
      </c>
      <c r="C15" s="571">
        <v>2</v>
      </c>
      <c r="D15" s="571"/>
      <c r="E15" s="571"/>
    </row>
    <row r="16" spans="1:5" x14ac:dyDescent="0.25">
      <c r="A16" s="986" t="s">
        <v>43</v>
      </c>
      <c r="B16" s="571">
        <v>6</v>
      </c>
      <c r="C16" s="571"/>
      <c r="D16" s="571">
        <v>3</v>
      </c>
      <c r="E16" s="571">
        <v>6</v>
      </c>
    </row>
    <row r="17" spans="1:5" x14ac:dyDescent="0.25">
      <c r="A17" s="986" t="s">
        <v>124</v>
      </c>
      <c r="B17" s="571">
        <v>16</v>
      </c>
      <c r="C17" s="571">
        <v>19</v>
      </c>
      <c r="D17" s="571">
        <v>20</v>
      </c>
      <c r="E17" s="571">
        <v>23</v>
      </c>
    </row>
    <row r="18" spans="1:5" x14ac:dyDescent="0.25">
      <c r="A18" s="986" t="s">
        <v>44</v>
      </c>
      <c r="B18" s="571">
        <v>2</v>
      </c>
      <c r="C18" s="571">
        <v>1</v>
      </c>
      <c r="D18" s="571"/>
      <c r="E18" s="571"/>
    </row>
    <row r="19" spans="1:5" x14ac:dyDescent="0.25">
      <c r="A19" s="986" t="s">
        <v>45</v>
      </c>
      <c r="B19" s="571">
        <v>4</v>
      </c>
      <c r="C19" s="571">
        <v>4</v>
      </c>
      <c r="D19" s="571">
        <v>3</v>
      </c>
      <c r="E19" s="571">
        <v>2</v>
      </c>
    </row>
    <row r="20" spans="1:5" x14ac:dyDescent="0.25">
      <c r="A20" s="986" t="s">
        <v>46</v>
      </c>
      <c r="B20" s="571"/>
      <c r="C20" s="571">
        <v>3</v>
      </c>
      <c r="D20" s="571">
        <v>2</v>
      </c>
      <c r="E20" s="571">
        <v>1</v>
      </c>
    </row>
    <row r="21" spans="1:5" x14ac:dyDescent="0.25">
      <c r="A21" s="986" t="s">
        <v>47</v>
      </c>
      <c r="B21" s="571"/>
      <c r="C21" s="571"/>
      <c r="D21" s="571"/>
      <c r="E21" s="571">
        <v>1</v>
      </c>
    </row>
    <row r="22" spans="1:5" x14ac:dyDescent="0.25">
      <c r="A22" s="986" t="s">
        <v>48</v>
      </c>
      <c r="B22" s="571"/>
      <c r="C22" s="571"/>
      <c r="D22" s="571"/>
      <c r="E22" s="571"/>
    </row>
    <row r="23" spans="1:5" x14ac:dyDescent="0.25">
      <c r="A23" s="986" t="s">
        <v>49</v>
      </c>
      <c r="B23" s="571">
        <v>4</v>
      </c>
      <c r="C23" s="571">
        <v>5</v>
      </c>
      <c r="D23" s="571">
        <v>2</v>
      </c>
      <c r="E23" s="571">
        <v>2</v>
      </c>
    </row>
    <row r="24" spans="1:5" x14ac:dyDescent="0.25">
      <c r="A24" s="986" t="s">
        <v>50</v>
      </c>
      <c r="B24" s="571">
        <v>7</v>
      </c>
      <c r="C24" s="571">
        <v>3</v>
      </c>
      <c r="D24" s="571">
        <v>6</v>
      </c>
      <c r="E24" s="571">
        <v>3</v>
      </c>
    </row>
    <row r="25" spans="1:5" x14ac:dyDescent="0.25">
      <c r="A25" s="986" t="s">
        <v>51</v>
      </c>
      <c r="B25" s="571"/>
      <c r="C25" s="571"/>
      <c r="D25" s="571"/>
      <c r="E25" s="571"/>
    </row>
    <row r="26" spans="1:5" x14ac:dyDescent="0.25">
      <c r="A26" s="986" t="s">
        <v>52</v>
      </c>
      <c r="B26" s="571"/>
      <c r="C26" s="571"/>
      <c r="D26" s="571"/>
      <c r="E26" s="571"/>
    </row>
    <row r="27" spans="1:5" x14ac:dyDescent="0.25">
      <c r="A27" s="986" t="s">
        <v>53</v>
      </c>
      <c r="B27" s="571">
        <v>3</v>
      </c>
      <c r="C27" s="571">
        <v>2</v>
      </c>
      <c r="D27" s="571">
        <v>1</v>
      </c>
      <c r="E27" s="571">
        <v>1</v>
      </c>
    </row>
    <row r="28" spans="1:5" x14ac:dyDescent="0.25">
      <c r="A28" s="986" t="s">
        <v>54</v>
      </c>
      <c r="B28" s="571"/>
      <c r="C28" s="571">
        <v>2</v>
      </c>
      <c r="D28" s="571">
        <v>3</v>
      </c>
      <c r="E28" s="571">
        <v>3</v>
      </c>
    </row>
    <row r="29" spans="1:5" x14ac:dyDescent="0.25">
      <c r="A29" s="986" t="s">
        <v>55</v>
      </c>
      <c r="B29" s="571"/>
      <c r="C29" s="571"/>
      <c r="D29" s="571"/>
      <c r="E29" s="571"/>
    </row>
    <row r="30" spans="1:5" x14ac:dyDescent="0.25">
      <c r="A30" s="986" t="s">
        <v>56</v>
      </c>
      <c r="B30" s="571">
        <v>3</v>
      </c>
      <c r="C30" s="571"/>
      <c r="D30" s="571">
        <v>1</v>
      </c>
      <c r="E30" s="571"/>
    </row>
    <row r="31" spans="1:5" x14ac:dyDescent="0.25">
      <c r="A31" s="986" t="s">
        <v>57</v>
      </c>
      <c r="B31" s="571">
        <v>5</v>
      </c>
      <c r="C31" s="571">
        <v>2</v>
      </c>
      <c r="D31" s="571"/>
      <c r="E31" s="571">
        <v>1</v>
      </c>
    </row>
    <row r="32" spans="1:5" x14ac:dyDescent="0.25">
      <c r="A32" s="986" t="s">
        <v>58</v>
      </c>
      <c r="B32" s="571">
        <v>2</v>
      </c>
      <c r="C32" s="571">
        <v>3</v>
      </c>
      <c r="D32" s="571"/>
      <c r="E32" s="571">
        <v>1</v>
      </c>
    </row>
    <row r="33" spans="1:5" x14ac:dyDescent="0.25">
      <c r="A33" s="986" t="s">
        <v>59</v>
      </c>
      <c r="B33" s="571">
        <v>2</v>
      </c>
      <c r="C33" s="571">
        <v>1</v>
      </c>
      <c r="D33" s="571"/>
      <c r="E33" s="571">
        <v>2</v>
      </c>
    </row>
    <row r="34" spans="1:5" x14ac:dyDescent="0.25">
      <c r="A34" s="986" t="s">
        <v>60</v>
      </c>
      <c r="B34" s="571">
        <v>4</v>
      </c>
      <c r="C34" s="571">
        <v>3</v>
      </c>
      <c r="D34" s="571">
        <v>4</v>
      </c>
      <c r="E34" s="571">
        <v>5</v>
      </c>
    </row>
    <row r="35" spans="1:5" x14ac:dyDescent="0.25">
      <c r="A35" s="986" t="s">
        <v>255</v>
      </c>
      <c r="B35" s="571">
        <v>90</v>
      </c>
      <c r="C35" s="571">
        <v>78</v>
      </c>
      <c r="D35" s="571">
        <v>53</v>
      </c>
      <c r="E35" s="571">
        <v>72</v>
      </c>
    </row>
    <row r="36" spans="1:5" x14ac:dyDescent="0.25">
      <c r="A36" s="570"/>
    </row>
    <row r="37" spans="1:5" x14ac:dyDescent="0.25">
      <c r="A37" s="570"/>
    </row>
    <row r="38" spans="1:5" x14ac:dyDescent="0.25">
      <c r="A38" s="570"/>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5" tint="0.39997558519241921"/>
    <pageSetUpPr fitToPage="1"/>
  </sheetPr>
  <dimension ref="A1:H6"/>
  <sheetViews>
    <sheetView showGridLines="0" workbookViewId="0">
      <pane ySplit="2" topLeftCell="A3" activePane="bottomLeft" state="frozen"/>
      <selection sqref="A1:C1"/>
      <selection pane="bottomLeft" sqref="A1:C1"/>
    </sheetView>
  </sheetViews>
  <sheetFormatPr defaultRowHeight="15" x14ac:dyDescent="0.25"/>
  <sheetData>
    <row r="1" spans="1:8" ht="15.75" customHeight="1" x14ac:dyDescent="0.25">
      <c r="A1" s="822" t="s">
        <v>616</v>
      </c>
      <c r="B1" s="822"/>
      <c r="C1" s="822"/>
    </row>
    <row r="2" spans="1:8" ht="15.75" x14ac:dyDescent="0.25">
      <c r="A2" s="790" t="s">
        <v>598</v>
      </c>
      <c r="B2" s="792"/>
      <c r="C2" s="792"/>
    </row>
    <row r="4" spans="1:8" ht="15.75" x14ac:dyDescent="0.25">
      <c r="A4" s="998" t="s">
        <v>624</v>
      </c>
      <c r="B4" s="998"/>
      <c r="C4" s="998"/>
      <c r="D4" s="998"/>
      <c r="E4" s="998"/>
      <c r="F4" s="998"/>
      <c r="G4" s="998"/>
      <c r="H4" s="998"/>
    </row>
    <row r="5" spans="1:8" x14ac:dyDescent="0.25">
      <c r="A5" s="971" t="s">
        <v>826</v>
      </c>
    </row>
    <row r="6" spans="1:8" x14ac:dyDescent="0.25">
      <c r="A6" s="971" t="s">
        <v>766</v>
      </c>
    </row>
  </sheetData>
  <sheetProtection algorithmName="SHA-512" hashValue="AKb5aJlS3zDLTEUtsSZtQDF5ZmQGO/gOckXDKHY2OJweD3nr6cE6644LuTKqHvF4uaJj2HO4RBvBpqW/f19dww==" saltValue="0mI5oii4m0xt3hRZ18g95A==" spinCount="100000" sheet="1" scenarios="1"/>
  <mergeCells count="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5" tint="0.39997558519241921"/>
    <pageSetUpPr fitToPage="1"/>
  </sheetPr>
  <dimension ref="A1:H6"/>
  <sheetViews>
    <sheetView showGridLines="0" workbookViewId="0">
      <pane ySplit="2" topLeftCell="A3" activePane="bottomLeft" state="frozen"/>
      <selection sqref="A1:C1"/>
      <selection pane="bottomLeft" sqref="A1:C1"/>
    </sheetView>
  </sheetViews>
  <sheetFormatPr defaultRowHeight="15" x14ac:dyDescent="0.25"/>
  <sheetData>
    <row r="1" spans="1:8" ht="15.75" customHeight="1" x14ac:dyDescent="0.25">
      <c r="A1" s="822" t="s">
        <v>616</v>
      </c>
      <c r="B1" s="822"/>
      <c r="C1" s="822"/>
    </row>
    <row r="2" spans="1:8" ht="15.75" x14ac:dyDescent="0.25">
      <c r="A2" s="790" t="s">
        <v>598</v>
      </c>
      <c r="B2" s="792"/>
      <c r="C2" s="792"/>
    </row>
    <row r="4" spans="1:8" ht="15.75" x14ac:dyDescent="0.25">
      <c r="A4" s="848" t="s">
        <v>625</v>
      </c>
      <c r="B4" s="848"/>
      <c r="C4" s="848"/>
      <c r="D4" s="848"/>
      <c r="E4" s="848"/>
      <c r="F4" s="848"/>
      <c r="G4" s="848"/>
      <c r="H4" s="848"/>
    </row>
    <row r="5" spans="1:8" x14ac:dyDescent="0.25">
      <c r="A5" s="971" t="s">
        <v>826</v>
      </c>
    </row>
    <row r="6" spans="1:8" x14ac:dyDescent="0.25">
      <c r="A6" s="971" t="s">
        <v>767</v>
      </c>
    </row>
  </sheetData>
  <sheetProtection algorithmName="SHA-512" hashValue="Nviuz9uRvLEA0X8vv1Ml6gESRGUdCAVGhIWb7o8poJJBCr3qD8NJZjAbPquU9JtxYIjT2LI7bCq7Wy/M1vRMmQ==" saltValue="4VTyQGuaFjQDB/y3XjWsog==" spinCount="100000" sheet="1" scenarios="1"/>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249977111117893"/>
    <pageSetUpPr fitToPage="1"/>
  </sheetPr>
  <dimension ref="A1:K83"/>
  <sheetViews>
    <sheetView showGridLines="0" zoomScaleNormal="100" workbookViewId="0">
      <pane ySplit="2" topLeftCell="A3" activePane="bottomLeft" state="frozen"/>
      <selection sqref="A1:C1"/>
      <selection pane="bottomLeft" sqref="A1:C1"/>
    </sheetView>
  </sheetViews>
  <sheetFormatPr defaultRowHeight="15" x14ac:dyDescent="0.25"/>
  <cols>
    <col min="1" max="1" width="19.7109375" customWidth="1"/>
    <col min="2" max="2" width="9" customWidth="1"/>
    <col min="3" max="3" width="10.5703125" customWidth="1"/>
    <col min="4" max="4" width="10.140625" customWidth="1"/>
    <col min="5" max="5" width="15.85546875" customWidth="1"/>
    <col min="6" max="6" width="20.140625" bestFit="1" customWidth="1"/>
    <col min="7" max="7" width="14.85546875" customWidth="1"/>
    <col min="8" max="8" width="9.140625" style="549"/>
    <col min="12" max="12" width="16.140625" bestFit="1" customWidth="1"/>
    <col min="13" max="13" width="14.7109375" bestFit="1" customWidth="1"/>
  </cols>
  <sheetData>
    <row r="1" spans="1:7" ht="15.75" x14ac:dyDescent="0.25">
      <c r="A1" s="822" t="s">
        <v>626</v>
      </c>
    </row>
    <row r="2" spans="1:7" x14ac:dyDescent="0.25">
      <c r="A2" s="790" t="s">
        <v>598</v>
      </c>
    </row>
    <row r="3" spans="1:7" x14ac:dyDescent="0.25">
      <c r="A3" s="31"/>
      <c r="B3" s="31"/>
      <c r="C3" s="31"/>
      <c r="D3" s="31"/>
      <c r="E3" s="31"/>
      <c r="F3" s="31"/>
      <c r="G3" s="31"/>
    </row>
    <row r="4" spans="1:7" ht="15.75" customHeight="1" x14ac:dyDescent="0.25">
      <c r="A4" s="804" t="s">
        <v>628</v>
      </c>
      <c r="B4" s="804"/>
      <c r="C4" s="804"/>
      <c r="D4" s="804"/>
      <c r="E4" s="804"/>
      <c r="F4" s="804"/>
      <c r="G4" s="804"/>
    </row>
    <row r="5" spans="1:7" ht="15.75" customHeight="1" x14ac:dyDescent="0.25">
      <c r="A5" t="s">
        <v>368</v>
      </c>
      <c r="B5" t="s">
        <v>799</v>
      </c>
      <c r="C5" s="795"/>
      <c r="D5" s="795"/>
      <c r="E5" s="795"/>
      <c r="F5" s="795"/>
      <c r="G5" s="795"/>
    </row>
    <row r="6" spans="1:7" ht="15.75" customHeight="1" x14ac:dyDescent="0.25">
      <c r="A6" t="s">
        <v>369</v>
      </c>
      <c r="B6" t="s">
        <v>371</v>
      </c>
      <c r="C6" s="795"/>
      <c r="D6" s="795"/>
      <c r="E6" s="795"/>
      <c r="F6" s="795"/>
      <c r="G6" s="795"/>
    </row>
    <row r="7" spans="1:7" ht="15.75" customHeight="1" x14ac:dyDescent="0.25">
      <c r="A7" t="s">
        <v>370</v>
      </c>
      <c r="B7" t="s">
        <v>627</v>
      </c>
      <c r="C7" s="795"/>
      <c r="D7" s="795"/>
      <c r="E7" s="795"/>
      <c r="F7" s="795"/>
      <c r="G7" s="795"/>
    </row>
    <row r="8" spans="1:7" x14ac:dyDescent="0.25">
      <c r="A8" s="79"/>
      <c r="B8" s="79"/>
      <c r="C8" s="79"/>
      <c r="D8" s="79"/>
      <c r="E8" s="79"/>
      <c r="F8" s="1035" t="s">
        <v>219</v>
      </c>
      <c r="G8" s="1035"/>
    </row>
    <row r="9" spans="1:7" ht="39" x14ac:dyDescent="0.25">
      <c r="A9" s="221" t="s">
        <v>1</v>
      </c>
      <c r="B9" s="850" t="s">
        <v>510</v>
      </c>
      <c r="C9" s="212" t="s">
        <v>135</v>
      </c>
      <c r="D9" s="212" t="s">
        <v>131</v>
      </c>
      <c r="E9" s="281" t="s">
        <v>140</v>
      </c>
      <c r="F9" s="212" t="s">
        <v>132</v>
      </c>
      <c r="G9" s="212" t="s">
        <v>133</v>
      </c>
    </row>
    <row r="10" spans="1:7" x14ac:dyDescent="0.25">
      <c r="A10" s="224" t="str">
        <f>'T17'!A5</f>
        <v>2010-11</v>
      </c>
      <c r="B10" s="157">
        <f>'T17'!B5</f>
        <v>33998</v>
      </c>
      <c r="C10" s="157">
        <f>'T17'!C5</f>
        <v>18732</v>
      </c>
      <c r="D10" s="151">
        <f t="shared" ref="D10:D18" si="0">B10+C10</f>
        <v>52730</v>
      </c>
      <c r="E10" s="476"/>
      <c r="F10" s="476"/>
      <c r="G10" s="476"/>
    </row>
    <row r="11" spans="1:7" x14ac:dyDescent="0.25">
      <c r="A11" s="224" t="str">
        <f>'T17'!A6</f>
        <v>2011-12</v>
      </c>
      <c r="B11" s="157">
        <f>'T17'!B6</f>
        <v>28846</v>
      </c>
      <c r="C11" s="157">
        <f>'T17'!C6</f>
        <v>27699</v>
      </c>
      <c r="D11" s="151">
        <f t="shared" si="0"/>
        <v>56545</v>
      </c>
      <c r="E11" s="261">
        <f>'T17'!E6</f>
        <v>46395</v>
      </c>
      <c r="F11" s="476"/>
      <c r="G11" s="476"/>
    </row>
    <row r="12" spans="1:7" x14ac:dyDescent="0.25">
      <c r="A12" s="224" t="str">
        <f>'T17'!A7</f>
        <v>2012-13</v>
      </c>
      <c r="B12" s="157">
        <f>'T17'!B7</f>
        <v>26013</v>
      </c>
      <c r="C12" s="157">
        <f>'T17'!C7</f>
        <v>30238</v>
      </c>
      <c r="D12" s="151">
        <f t="shared" si="0"/>
        <v>56251</v>
      </c>
      <c r="E12" s="261">
        <f>'T17'!E7</f>
        <v>44122</v>
      </c>
      <c r="F12" s="476"/>
      <c r="G12" s="476"/>
    </row>
    <row r="13" spans="1:7" x14ac:dyDescent="0.25">
      <c r="A13" s="224" t="str">
        <f>'T17'!A8</f>
        <v>2013-14</v>
      </c>
      <c r="B13" s="157">
        <f>'T17'!B8</f>
        <v>29579</v>
      </c>
      <c r="C13" s="157">
        <f>'T17'!C8</f>
        <v>41480</v>
      </c>
      <c r="D13" s="151">
        <f t="shared" si="0"/>
        <v>71059</v>
      </c>
      <c r="E13" s="261">
        <f>'T17'!E8</f>
        <v>46172</v>
      </c>
      <c r="F13" s="261">
        <f>'T17'!F8</f>
        <v>30361</v>
      </c>
      <c r="G13" s="261">
        <f>'T17'!G8</f>
        <v>15811</v>
      </c>
    </row>
    <row r="14" spans="1:7" x14ac:dyDescent="0.25">
      <c r="A14" s="224" t="str">
        <f>'T17'!A9</f>
        <v>2014-15</v>
      </c>
      <c r="B14" s="157">
        <f>'T17'!B9</f>
        <v>26986</v>
      </c>
      <c r="C14" s="157">
        <f>'T17'!C9</f>
        <v>38730</v>
      </c>
      <c r="D14" s="151">
        <f t="shared" si="0"/>
        <v>65716</v>
      </c>
      <c r="E14" s="261">
        <f>'T17'!E9</f>
        <v>41832</v>
      </c>
      <c r="F14" s="261">
        <f>'T17'!F9</f>
        <v>28032</v>
      </c>
      <c r="G14" s="261">
        <f>'T17'!G9</f>
        <v>13800</v>
      </c>
    </row>
    <row r="15" spans="1:7" x14ac:dyDescent="0.25">
      <c r="A15" s="224" t="str">
        <f>'T17'!A10</f>
        <v>2015-16</v>
      </c>
      <c r="B15" s="157">
        <f>'T17'!B10</f>
        <v>28338</v>
      </c>
      <c r="C15" s="157">
        <f>'T17'!C10</f>
        <v>43381</v>
      </c>
      <c r="D15" s="151">
        <f t="shared" si="0"/>
        <v>71719</v>
      </c>
      <c r="E15" s="261">
        <f>'T17'!E10</f>
        <v>43710</v>
      </c>
      <c r="F15" s="261">
        <f>'T17'!F10</f>
        <v>28897</v>
      </c>
      <c r="G15" s="261">
        <f>'T17'!G10</f>
        <v>14813</v>
      </c>
    </row>
    <row r="16" spans="1:7" x14ac:dyDescent="0.25">
      <c r="A16" s="224" t="str">
        <f>'T17'!A11</f>
        <v>2016-17</v>
      </c>
      <c r="B16" s="157">
        <f>'T17'!B11</f>
        <v>29018</v>
      </c>
      <c r="C16" s="157">
        <f>'T17'!C11</f>
        <v>41794</v>
      </c>
      <c r="D16" s="151">
        <f t="shared" si="0"/>
        <v>70812</v>
      </c>
      <c r="E16" s="261">
        <f>'T17'!E11</f>
        <v>44327</v>
      </c>
      <c r="F16" s="261">
        <f>'T17'!F11</f>
        <v>27957</v>
      </c>
      <c r="G16" s="261">
        <f>'T17'!G11</f>
        <v>16370</v>
      </c>
    </row>
    <row r="17" spans="1:8" x14ac:dyDescent="0.25">
      <c r="A17" s="224" t="str">
        <f>'T17'!A12</f>
        <v>2017-18</v>
      </c>
      <c r="B17" s="157">
        <f>'T17'!B12</f>
        <v>27756</v>
      </c>
      <c r="C17" s="157">
        <f>'T17'!C12</f>
        <v>42077</v>
      </c>
      <c r="D17" s="151">
        <f t="shared" si="0"/>
        <v>69833</v>
      </c>
      <c r="E17" s="261">
        <f>'T17'!E12</f>
        <v>42388</v>
      </c>
      <c r="F17" s="261">
        <f>'T17'!F12</f>
        <v>28114</v>
      </c>
      <c r="G17" s="261">
        <f>'T17'!G12</f>
        <v>14274</v>
      </c>
    </row>
    <row r="18" spans="1:8" x14ac:dyDescent="0.25">
      <c r="A18" s="224" t="str">
        <f>'T17'!A13</f>
        <v>2018-19</v>
      </c>
      <c r="B18" s="157">
        <f>'T17'!B13</f>
        <v>24452</v>
      </c>
      <c r="C18" s="157">
        <f>'T17'!C13</f>
        <v>44745</v>
      </c>
      <c r="D18" s="151">
        <f t="shared" si="0"/>
        <v>69197</v>
      </c>
      <c r="E18" s="261">
        <f>'T17'!E13</f>
        <v>37536</v>
      </c>
      <c r="F18" s="261">
        <f>'T17'!F13</f>
        <v>25632</v>
      </c>
      <c r="G18" s="261">
        <f>'T17'!G13</f>
        <v>11904</v>
      </c>
    </row>
    <row r="19" spans="1:8" x14ac:dyDescent="0.25">
      <c r="A19" s="282"/>
      <c r="B19" s="283"/>
      <c r="C19" s="283"/>
      <c r="D19" s="284"/>
      <c r="E19" s="283"/>
      <c r="F19" s="283"/>
      <c r="G19" s="283"/>
    </row>
    <row r="20" spans="1:8" ht="15" customHeight="1" x14ac:dyDescent="0.25">
      <c r="A20" s="1036" t="str">
        <f>"One Year Change " &amp; A17 &amp; " to " &amp; A18</f>
        <v>One Year Change 2017-18 to 2018-19</v>
      </c>
      <c r="B20" s="1036"/>
      <c r="C20" s="1036"/>
      <c r="D20" s="1036"/>
      <c r="E20" s="261"/>
      <c r="F20" s="31"/>
      <c r="G20" s="31"/>
    </row>
    <row r="21" spans="1:8" x14ac:dyDescent="0.25">
      <c r="A21" s="285" t="s">
        <v>6</v>
      </c>
      <c r="B21" s="286">
        <f>B18-B17</f>
        <v>-3304</v>
      </c>
      <c r="C21" s="286">
        <f t="shared" ref="C21:G21" si="1">C18-C17</f>
        <v>2668</v>
      </c>
      <c r="D21" s="287">
        <f t="shared" si="1"/>
        <v>-636</v>
      </c>
      <c r="E21" s="286">
        <f t="shared" si="1"/>
        <v>-4852</v>
      </c>
      <c r="F21" s="286">
        <f t="shared" si="1"/>
        <v>-2482</v>
      </c>
      <c r="G21" s="286">
        <f t="shared" si="1"/>
        <v>-2370</v>
      </c>
    </row>
    <row r="22" spans="1:8" ht="15.75" thickBot="1" x14ac:dyDescent="0.3">
      <c r="A22" s="288" t="s">
        <v>7</v>
      </c>
      <c r="B22" s="386">
        <f t="shared" ref="B22:G22" si="2">B21/B17</f>
        <v>-0.1190373252630062</v>
      </c>
      <c r="C22" s="386">
        <f t="shared" si="2"/>
        <v>6.3407562326211475E-2</v>
      </c>
      <c r="D22" s="387">
        <f t="shared" si="2"/>
        <v>-9.1074420402961348E-3</v>
      </c>
      <c r="E22" s="386">
        <f t="shared" si="2"/>
        <v>-0.1144663584033217</v>
      </c>
      <c r="F22" s="386">
        <f t="shared" si="2"/>
        <v>-8.8283417514405632E-2</v>
      </c>
      <c r="G22" s="386">
        <f t="shared" si="2"/>
        <v>-0.16603614964270702</v>
      </c>
    </row>
    <row r="24" spans="1:8" x14ac:dyDescent="0.25">
      <c r="A24" s="1036" t="str">
        <f>"Five Year Change " &amp; A13 &amp; " to " &amp; A18</f>
        <v>Five Year Change 2013-14 to 2018-19</v>
      </c>
      <c r="B24" s="1036"/>
      <c r="C24" s="1036"/>
      <c r="D24" s="1036"/>
      <c r="E24" s="261"/>
      <c r="F24" s="31"/>
      <c r="G24" s="31"/>
    </row>
    <row r="25" spans="1:8" x14ac:dyDescent="0.25">
      <c r="A25" s="285" t="s">
        <v>6</v>
      </c>
      <c r="B25" s="286">
        <f>B18-B13</f>
        <v>-5127</v>
      </c>
      <c r="C25" s="286">
        <f t="shared" ref="C25:G25" si="3">C18-C13</f>
        <v>3265</v>
      </c>
      <c r="D25" s="287">
        <f t="shared" si="3"/>
        <v>-1862</v>
      </c>
      <c r="E25" s="286">
        <f t="shared" si="3"/>
        <v>-8636</v>
      </c>
      <c r="F25" s="286">
        <f t="shared" si="3"/>
        <v>-4729</v>
      </c>
      <c r="G25" s="286">
        <f t="shared" si="3"/>
        <v>-3907</v>
      </c>
    </row>
    <row r="26" spans="1:8" ht="15.75" thickBot="1" x14ac:dyDescent="0.3">
      <c r="A26" s="288" t="s">
        <v>7</v>
      </c>
      <c r="B26" s="386">
        <f t="shared" ref="B26:G26" si="4">B25/B18</f>
        <v>-0.20967610011451007</v>
      </c>
      <c r="C26" s="386">
        <f t="shared" si="4"/>
        <v>7.2969046820873837E-2</v>
      </c>
      <c r="D26" s="387">
        <f t="shared" si="4"/>
        <v>-2.6908681012182609E-2</v>
      </c>
      <c r="E26" s="386">
        <f t="shared" si="4"/>
        <v>-0.23007246376811594</v>
      </c>
      <c r="F26" s="386">
        <f t="shared" si="4"/>
        <v>-0.18449594257178528</v>
      </c>
      <c r="G26" s="386">
        <f t="shared" si="4"/>
        <v>-0.32820900537634407</v>
      </c>
    </row>
    <row r="27" spans="1:8" x14ac:dyDescent="0.25">
      <c r="A27" s="557"/>
      <c r="B27" s="559"/>
      <c r="C27" s="559"/>
      <c r="D27" s="560"/>
      <c r="E27" s="559"/>
      <c r="F27" s="559"/>
      <c r="G27" s="559"/>
    </row>
    <row r="28" spans="1:8" x14ac:dyDescent="0.25">
      <c r="A28" s="558" t="s">
        <v>8</v>
      </c>
      <c r="B28" s="559"/>
      <c r="C28" s="559"/>
      <c r="D28" s="560"/>
      <c r="E28" s="559"/>
      <c r="F28" s="559"/>
      <c r="G28" s="559"/>
    </row>
    <row r="29" spans="1:8" ht="60" customHeight="1" x14ac:dyDescent="0.25">
      <c r="A29" s="1015" t="s">
        <v>849</v>
      </c>
      <c r="B29" s="1015"/>
      <c r="C29" s="1015"/>
      <c r="D29" s="1015"/>
      <c r="E29" s="1015"/>
      <c r="F29" s="1015"/>
      <c r="G29" s="1015"/>
      <c r="H29" s="1015"/>
    </row>
    <row r="30" spans="1:8" ht="30" customHeight="1" x14ac:dyDescent="0.25">
      <c r="A30" s="999" t="s">
        <v>850</v>
      </c>
      <c r="B30" s="999"/>
      <c r="C30" s="999"/>
      <c r="D30" s="999"/>
      <c r="E30" s="999"/>
      <c r="F30" s="999"/>
      <c r="G30" s="999"/>
      <c r="H30" s="999"/>
    </row>
    <row r="31" spans="1:8" x14ac:dyDescent="0.25">
      <c r="A31" s="534"/>
      <c r="B31" s="559"/>
      <c r="C31" s="559"/>
      <c r="D31" s="560"/>
      <c r="E31" s="559"/>
      <c r="F31" s="559"/>
      <c r="G31" s="559"/>
    </row>
    <row r="32" spans="1:8" x14ac:dyDescent="0.25">
      <c r="A32" s="220"/>
      <c r="B32" s="289"/>
      <c r="C32" s="289"/>
      <c r="D32" s="289"/>
      <c r="E32" s="289"/>
      <c r="F32" s="31"/>
      <c r="G32" s="31"/>
    </row>
    <row r="33" spans="1:8" ht="15.75" x14ac:dyDescent="0.25">
      <c r="A33" s="1021" t="s">
        <v>691</v>
      </c>
      <c r="B33" s="1021"/>
      <c r="C33" s="1021"/>
      <c r="D33" s="1021"/>
      <c r="E33" s="1021"/>
      <c r="F33" s="1021"/>
      <c r="G33" s="1021"/>
      <c r="H33" s="1021"/>
    </row>
    <row r="34" spans="1:8" ht="15.75" x14ac:dyDescent="0.25">
      <c r="A34" t="s">
        <v>368</v>
      </c>
      <c r="B34" t="s">
        <v>800</v>
      </c>
      <c r="C34" s="794"/>
      <c r="D34" s="794"/>
      <c r="E34" s="794"/>
      <c r="F34" s="794"/>
      <c r="G34" s="794"/>
      <c r="H34" s="794"/>
    </row>
    <row r="35" spans="1:8" ht="15.75" x14ac:dyDescent="0.25">
      <c r="A35" t="s">
        <v>369</v>
      </c>
      <c r="B35" t="s">
        <v>371</v>
      </c>
      <c r="C35" s="794"/>
      <c r="D35" s="794"/>
      <c r="E35" s="794"/>
      <c r="F35" s="794"/>
      <c r="G35" s="794"/>
      <c r="H35" s="794"/>
    </row>
    <row r="36" spans="1:8" ht="15.75" x14ac:dyDescent="0.25">
      <c r="A36" t="s">
        <v>370</v>
      </c>
      <c r="B36" t="s">
        <v>627</v>
      </c>
      <c r="C36" s="794"/>
      <c r="D36" s="794"/>
      <c r="E36" s="794"/>
      <c r="F36" s="794"/>
      <c r="G36" s="794"/>
      <c r="H36" s="794"/>
    </row>
    <row r="37" spans="1:8" ht="15.75" x14ac:dyDescent="0.25">
      <c r="C37" s="800"/>
      <c r="D37" s="800"/>
      <c r="E37" s="800"/>
      <c r="F37" s="800"/>
      <c r="G37" s="800"/>
      <c r="H37" s="800"/>
    </row>
    <row r="38" spans="1:8" x14ac:dyDescent="0.25">
      <c r="A38" s="182"/>
      <c r="B38" s="290" t="s">
        <v>7</v>
      </c>
      <c r="C38" s="420"/>
      <c r="D38" s="803"/>
      <c r="E38" s="803" t="s">
        <v>643</v>
      </c>
      <c r="G38" s="31"/>
    </row>
    <row r="39" spans="1:8" ht="51.75" x14ac:dyDescent="0.25">
      <c r="A39" s="291" t="s">
        <v>1</v>
      </c>
      <c r="B39" s="280" t="s">
        <v>130</v>
      </c>
      <c r="C39" s="212" t="s">
        <v>135</v>
      </c>
      <c r="D39" s="886" t="s">
        <v>144</v>
      </c>
      <c r="E39" s="889" t="s">
        <v>142</v>
      </c>
    </row>
    <row r="40" spans="1:8" x14ac:dyDescent="0.25">
      <c r="A40" s="320" t="str">
        <f>'T17'!A5</f>
        <v>2010-11</v>
      </c>
      <c r="B40" s="157">
        <f t="shared" ref="B40:C48" si="5">B10/$D10%</f>
        <v>64.47563057083255</v>
      </c>
      <c r="C40" s="157">
        <f t="shared" si="5"/>
        <v>35.524369429167457</v>
      </c>
      <c r="D40" s="890"/>
      <c r="E40" s="476"/>
      <c r="G40" s="31"/>
    </row>
    <row r="41" spans="1:8" x14ac:dyDescent="0.25">
      <c r="A41" s="224" t="str">
        <f>'T17'!A6</f>
        <v>2011-12</v>
      </c>
      <c r="B41" s="157">
        <f t="shared" si="5"/>
        <v>51.014236448846049</v>
      </c>
      <c r="C41" s="157">
        <f t="shared" si="5"/>
        <v>48.985763551153944</v>
      </c>
      <c r="D41" s="891">
        <f t="shared" ref="D41:D48" si="6">E11/D11</f>
        <v>0.82049694933239015</v>
      </c>
      <c r="E41" s="623">
        <f t="shared" ref="E41:E48" si="7">E11/B11</f>
        <v>1.6083685779657491</v>
      </c>
      <c r="G41" s="31"/>
    </row>
    <row r="42" spans="1:8" x14ac:dyDescent="0.25">
      <c r="A42" s="224" t="str">
        <f>'T17'!A7</f>
        <v>2012-13</v>
      </c>
      <c r="B42" s="157">
        <f t="shared" si="5"/>
        <v>46.244511208689623</v>
      </c>
      <c r="C42" s="157">
        <f t="shared" si="5"/>
        <v>53.755488791310377</v>
      </c>
      <c r="D42" s="891">
        <f t="shared" si="6"/>
        <v>0.78437716662814883</v>
      </c>
      <c r="E42" s="623">
        <f t="shared" si="7"/>
        <v>1.696151924037981</v>
      </c>
      <c r="G42" s="31"/>
    </row>
    <row r="43" spans="1:8" x14ac:dyDescent="0.25">
      <c r="A43" s="224" t="str">
        <f>'T17'!A8</f>
        <v>2013-14</v>
      </c>
      <c r="B43" s="157">
        <f t="shared" si="5"/>
        <v>41.625972783180174</v>
      </c>
      <c r="C43" s="157">
        <f t="shared" si="5"/>
        <v>58.374027216819826</v>
      </c>
      <c r="D43" s="891">
        <f t="shared" si="6"/>
        <v>0.64976990951181413</v>
      </c>
      <c r="E43" s="623">
        <f t="shared" si="7"/>
        <v>1.5609723114371683</v>
      </c>
      <c r="G43" s="31"/>
    </row>
    <row r="44" spans="1:8" x14ac:dyDescent="0.25">
      <c r="A44" s="224" t="str">
        <f>'T17'!A9</f>
        <v>2014-15</v>
      </c>
      <c r="B44" s="157">
        <f t="shared" si="5"/>
        <v>41.064580923975896</v>
      </c>
      <c r="C44" s="157">
        <f t="shared" si="5"/>
        <v>58.935419076024104</v>
      </c>
      <c r="D44" s="891">
        <f t="shared" si="6"/>
        <v>0.63655730720068171</v>
      </c>
      <c r="E44" s="623">
        <f t="shared" si="7"/>
        <v>1.5501371081301416</v>
      </c>
      <c r="G44" s="31"/>
    </row>
    <row r="45" spans="1:8" x14ac:dyDescent="0.25">
      <c r="A45" s="224" t="str">
        <f>'T17'!A10</f>
        <v>2015-16</v>
      </c>
      <c r="B45" s="157">
        <f t="shared" si="5"/>
        <v>39.512542004210879</v>
      </c>
      <c r="C45" s="157">
        <f t="shared" si="5"/>
        <v>60.487457995789114</v>
      </c>
      <c r="D45" s="891">
        <f t="shared" si="6"/>
        <v>0.60946192780155883</v>
      </c>
      <c r="E45" s="623">
        <f t="shared" si="7"/>
        <v>1.5424518314630531</v>
      </c>
      <c r="G45" s="31"/>
    </row>
    <row r="46" spans="1:8" ht="15" customHeight="1" x14ac:dyDescent="0.25">
      <c r="A46" s="224" t="str">
        <f>'T17'!A11</f>
        <v>2016-17</v>
      </c>
      <c r="B46" s="157">
        <f t="shared" si="5"/>
        <v>40.978930124837596</v>
      </c>
      <c r="C46" s="157">
        <f t="shared" si="5"/>
        <v>59.021069875162404</v>
      </c>
      <c r="D46" s="891">
        <f t="shared" si="6"/>
        <v>0.62598147206688137</v>
      </c>
      <c r="E46" s="623">
        <f t="shared" si="7"/>
        <v>1.5275690950444551</v>
      </c>
      <c r="G46" s="31"/>
    </row>
    <row r="47" spans="1:8" x14ac:dyDescent="0.25">
      <c r="A47" s="224" t="str">
        <f>'T17'!A12</f>
        <v>2017-18</v>
      </c>
      <c r="B47" s="157">
        <f t="shared" si="5"/>
        <v>39.746251772084825</v>
      </c>
      <c r="C47" s="157">
        <f t="shared" si="5"/>
        <v>60.253748227915167</v>
      </c>
      <c r="D47" s="891">
        <f t="shared" si="6"/>
        <v>0.60699096415734677</v>
      </c>
      <c r="E47" s="623">
        <f t="shared" si="7"/>
        <v>1.5271652975933132</v>
      </c>
      <c r="G47" s="31"/>
    </row>
    <row r="48" spans="1:8" x14ac:dyDescent="0.25">
      <c r="A48" s="224" t="str">
        <f>'T17'!A13</f>
        <v>2018-19</v>
      </c>
      <c r="B48" s="129">
        <f t="shared" si="5"/>
        <v>35.336792057459135</v>
      </c>
      <c r="C48" s="157">
        <f t="shared" si="5"/>
        <v>64.663207942540865</v>
      </c>
      <c r="D48" s="892">
        <f t="shared" si="6"/>
        <v>0.54245126233796259</v>
      </c>
      <c r="E48" s="623">
        <f t="shared" si="7"/>
        <v>1.53508915426141</v>
      </c>
    </row>
    <row r="49" spans="1:10" x14ac:dyDescent="0.25">
      <c r="A49" s="293"/>
      <c r="B49" s="294"/>
      <c r="C49" s="294"/>
      <c r="D49" s="295"/>
      <c r="E49" s="296"/>
    </row>
    <row r="50" spans="1:10" x14ac:dyDescent="0.25">
      <c r="A50" s="182" t="s">
        <v>8</v>
      </c>
      <c r="B50" s="289"/>
      <c r="C50" s="289"/>
      <c r="D50" s="851"/>
      <c r="E50" s="852"/>
    </row>
    <row r="51" spans="1:10" x14ac:dyDescent="0.25">
      <c r="A51" t="s">
        <v>852</v>
      </c>
      <c r="B51" s="289"/>
      <c r="C51" s="289"/>
      <c r="D51" s="851"/>
      <c r="E51" s="852"/>
      <c r="F51" s="852"/>
      <c r="G51" s="31"/>
    </row>
    <row r="52" spans="1:10" ht="46.5" customHeight="1" x14ac:dyDescent="0.25">
      <c r="A52" s="999" t="s">
        <v>853</v>
      </c>
      <c r="B52" s="999"/>
      <c r="C52" s="999"/>
      <c r="D52" s="999"/>
      <c r="E52" s="999"/>
      <c r="F52" s="999"/>
      <c r="G52" s="999"/>
      <c r="H52" s="999"/>
    </row>
    <row r="53" spans="1:10" x14ac:dyDescent="0.25">
      <c r="A53" s="31"/>
      <c r="B53" s="261"/>
      <c r="C53" s="261"/>
      <c r="D53" s="261"/>
      <c r="H53"/>
    </row>
    <row r="54" spans="1:10" ht="15.75" customHeight="1" x14ac:dyDescent="0.25">
      <c r="A54" s="1034" t="s">
        <v>698</v>
      </c>
      <c r="B54" s="1034"/>
      <c r="C54" s="1034"/>
      <c r="D54" s="1034"/>
      <c r="E54" s="1034"/>
      <c r="F54" s="1034"/>
      <c r="G54" s="621"/>
      <c r="H54" s="621"/>
      <c r="I54" s="621"/>
      <c r="J54" s="621"/>
    </row>
    <row r="55" spans="1:10" ht="15.75" customHeight="1" x14ac:dyDescent="0.25">
      <c r="A55" t="s">
        <v>368</v>
      </c>
      <c r="B55" t="s">
        <v>801</v>
      </c>
      <c r="C55" s="793"/>
      <c r="D55" s="793"/>
      <c r="E55" s="793"/>
      <c r="F55" s="793"/>
      <c r="G55" s="793"/>
      <c r="H55" s="793"/>
      <c r="I55" s="793"/>
      <c r="J55" s="793"/>
    </row>
    <row r="56" spans="1:10" ht="15.75" customHeight="1" x14ac:dyDescent="0.25">
      <c r="A56" t="s">
        <v>369</v>
      </c>
      <c r="B56" t="s">
        <v>371</v>
      </c>
      <c r="C56" s="793"/>
      <c r="D56" s="793"/>
      <c r="E56" s="793"/>
      <c r="F56" s="793"/>
      <c r="G56" s="793"/>
      <c r="H56" s="793"/>
      <c r="I56" s="793"/>
      <c r="J56" s="793"/>
    </row>
    <row r="57" spans="1:10" x14ac:dyDescent="0.25">
      <c r="A57" t="s">
        <v>370</v>
      </c>
      <c r="B57" t="s">
        <v>627</v>
      </c>
      <c r="C57" s="31"/>
      <c r="D57" s="140"/>
      <c r="E57" s="31"/>
      <c r="F57" s="31"/>
      <c r="G57" s="31"/>
    </row>
    <row r="58" spans="1:10" x14ac:dyDescent="0.25">
      <c r="A58" s="79"/>
      <c r="B58" s="79"/>
      <c r="C58" s="166"/>
      <c r="D58" s="166"/>
      <c r="E58" s="307" t="s">
        <v>644</v>
      </c>
      <c r="F58" s="962" t="s">
        <v>6</v>
      </c>
      <c r="G58" s="31"/>
    </row>
    <row r="59" spans="1:10" ht="51.75" x14ac:dyDescent="0.25">
      <c r="A59" s="221" t="s">
        <v>1</v>
      </c>
      <c r="B59" s="280" t="s">
        <v>130</v>
      </c>
      <c r="C59" s="212" t="s">
        <v>135</v>
      </c>
      <c r="D59" s="212" t="s">
        <v>136</v>
      </c>
      <c r="E59" s="297" t="s">
        <v>137</v>
      </c>
      <c r="F59" s="963" t="s">
        <v>500</v>
      </c>
      <c r="G59" s="31"/>
    </row>
    <row r="60" spans="1:10" x14ac:dyDescent="0.25">
      <c r="A60" s="224" t="str">
        <f>'T17'!A6</f>
        <v>2011-12</v>
      </c>
      <c r="B60" s="583">
        <f t="shared" ref="B60:B67" si="8">B11/F60*100</f>
        <v>1.2138406277667622</v>
      </c>
      <c r="C60" s="583">
        <f t="shared" ref="C60:C67" si="9">C11/F60*100</f>
        <v>1.1655748300808273</v>
      </c>
      <c r="D60" s="584">
        <f t="shared" ref="D60:D67" si="10">D11/F60*100</f>
        <v>2.3794154578475895</v>
      </c>
      <c r="E60" s="584">
        <f t="shared" ref="E60:E67" si="11">E11/F60*100</f>
        <v>1.9523031243582796</v>
      </c>
      <c r="F60" s="129">
        <f>'T17'!H6</f>
        <v>2376424</v>
      </c>
      <c r="G60" s="31"/>
    </row>
    <row r="61" spans="1:10" x14ac:dyDescent="0.25">
      <c r="A61" s="224" t="str">
        <f>'T17'!A7</f>
        <v>2012-13</v>
      </c>
      <c r="B61" s="583">
        <f t="shared" si="8"/>
        <v>1.0899332121039444</v>
      </c>
      <c r="C61" s="583">
        <f t="shared" si="9"/>
        <v>1.2669588462537604</v>
      </c>
      <c r="D61" s="584">
        <f t="shared" si="10"/>
        <v>2.3568920583577047</v>
      </c>
      <c r="E61" s="584">
        <f t="shared" si="11"/>
        <v>1.8486923147830021</v>
      </c>
      <c r="F61" s="129">
        <f>'T17'!H7</f>
        <v>2386660</v>
      </c>
      <c r="G61" s="31"/>
    </row>
    <row r="62" spans="1:10" x14ac:dyDescent="0.25">
      <c r="A62" s="224" t="str">
        <f>'T17'!A8</f>
        <v>2013-14</v>
      </c>
      <c r="B62" s="583">
        <f t="shared" si="8"/>
        <v>1.2322827330438746</v>
      </c>
      <c r="C62" s="583">
        <f t="shared" si="9"/>
        <v>1.7280870809243016</v>
      </c>
      <c r="D62" s="584">
        <f t="shared" si="10"/>
        <v>2.960369813968176</v>
      </c>
      <c r="E62" s="584">
        <f t="shared" si="11"/>
        <v>1.9235592261436081</v>
      </c>
      <c r="F62" s="129">
        <f>'T17'!H8</f>
        <v>2400342</v>
      </c>
      <c r="G62" s="31"/>
    </row>
    <row r="63" spans="1:10" x14ac:dyDescent="0.25">
      <c r="A63" s="224" t="str">
        <f>'T17'!A9</f>
        <v>2014-15</v>
      </c>
      <c r="B63" s="583">
        <f t="shared" si="8"/>
        <v>1.1169637262035732</v>
      </c>
      <c r="C63" s="583">
        <f t="shared" si="9"/>
        <v>1.6030536246892608</v>
      </c>
      <c r="D63" s="584">
        <f t="shared" si="10"/>
        <v>2.7200173508928343</v>
      </c>
      <c r="E63" s="584">
        <f t="shared" si="11"/>
        <v>1.7314469204234744</v>
      </c>
      <c r="F63" s="129">
        <f>'T17'!H9</f>
        <v>2416014</v>
      </c>
      <c r="G63" s="31"/>
    </row>
    <row r="64" spans="1:10" x14ac:dyDescent="0.25">
      <c r="A64" s="224" t="str">
        <f>'T17'!A10</f>
        <v>2015-16</v>
      </c>
      <c r="B64" s="583">
        <f t="shared" si="8"/>
        <v>1.1662001948193845</v>
      </c>
      <c r="C64" s="583">
        <f t="shared" si="9"/>
        <v>1.785268214110372</v>
      </c>
      <c r="D64" s="584">
        <f t="shared" si="10"/>
        <v>2.9514684089297569</v>
      </c>
      <c r="E64" s="584">
        <f t="shared" si="11"/>
        <v>1.7988076263517294</v>
      </c>
      <c r="F64" s="129">
        <f>'T17'!H10</f>
        <v>2429943</v>
      </c>
      <c r="G64" s="31"/>
    </row>
    <row r="65" spans="1:11" x14ac:dyDescent="0.25">
      <c r="A65" s="224" t="str">
        <f>'T17'!A11</f>
        <v>2016-17</v>
      </c>
      <c r="B65" s="583">
        <f t="shared" si="8"/>
        <v>1.1862621214951856</v>
      </c>
      <c r="C65" s="583">
        <f t="shared" si="9"/>
        <v>1.7085477671021365</v>
      </c>
      <c r="D65" s="584">
        <f t="shared" si="10"/>
        <v>2.8948098885973219</v>
      </c>
      <c r="E65" s="584">
        <f t="shared" si="11"/>
        <v>1.8120973554179163</v>
      </c>
      <c r="F65" s="129">
        <f>'T17'!H11</f>
        <v>2446171</v>
      </c>
      <c r="G65" s="31"/>
    </row>
    <row r="66" spans="1:11" ht="15" customHeight="1" x14ac:dyDescent="0.25">
      <c r="A66" s="224" t="str">
        <f>'T17'!A12</f>
        <v>2017-18</v>
      </c>
      <c r="B66" s="583">
        <f t="shared" si="8"/>
        <v>1.1270391954314225</v>
      </c>
      <c r="C66" s="583">
        <f t="shared" si="9"/>
        <v>1.7085469169249159</v>
      </c>
      <c r="D66" s="584">
        <f t="shared" si="10"/>
        <v>2.8355861123563386</v>
      </c>
      <c r="E66" s="584">
        <f t="shared" si="11"/>
        <v>1.7211751482903568</v>
      </c>
      <c r="F66" s="129">
        <f>'T17'!H12</f>
        <v>2462736</v>
      </c>
      <c r="G66" s="31"/>
    </row>
    <row r="67" spans="1:11" ht="15" customHeight="1" x14ac:dyDescent="0.25">
      <c r="A67" s="224" t="str">
        <f>'T17'!A13</f>
        <v>2018-19</v>
      </c>
      <c r="B67" s="583">
        <f t="shared" si="8"/>
        <v>0.9870523054566005</v>
      </c>
      <c r="C67" s="583">
        <f t="shared" si="9"/>
        <v>1.8062185264050217</v>
      </c>
      <c r="D67" s="584">
        <f t="shared" si="10"/>
        <v>2.793270831861622</v>
      </c>
      <c r="E67" s="584">
        <f t="shared" si="11"/>
        <v>1.5152132887951479</v>
      </c>
      <c r="F67" s="129">
        <f>'T17'!H13</f>
        <v>2477275</v>
      </c>
      <c r="G67" s="31"/>
    </row>
    <row r="68" spans="1:11" x14ac:dyDescent="0.25">
      <c r="A68" s="282"/>
      <c r="B68" s="298"/>
      <c r="C68" s="298"/>
      <c r="D68" s="300"/>
      <c r="E68" s="299"/>
      <c r="F68" s="283"/>
      <c r="G68" s="31"/>
    </row>
    <row r="69" spans="1:11" x14ac:dyDescent="0.25">
      <c r="A69" s="533" t="s">
        <v>8</v>
      </c>
      <c r="B69" s="501"/>
      <c r="C69" s="501"/>
      <c r="D69" s="501"/>
      <c r="E69" s="501"/>
      <c r="F69" s="501"/>
      <c r="G69" s="501"/>
    </row>
    <row r="70" spans="1:11" ht="45" customHeight="1" x14ac:dyDescent="0.25">
      <c r="A70" s="999" t="s">
        <v>854</v>
      </c>
      <c r="B70" s="999"/>
      <c r="C70" s="999"/>
      <c r="D70" s="999"/>
      <c r="E70" s="999"/>
      <c r="F70" s="999"/>
      <c r="G70" s="999"/>
    </row>
    <row r="71" spans="1:11" x14ac:dyDescent="0.25">
      <c r="A71" s="849" t="s">
        <v>855</v>
      </c>
      <c r="B71" s="622"/>
      <c r="C71" s="622"/>
      <c r="D71" s="622"/>
      <c r="E71" s="622"/>
      <c r="F71" s="622"/>
      <c r="G71" s="622"/>
      <c r="K71" s="224"/>
    </row>
    <row r="72" spans="1:11" x14ac:dyDescent="0.25">
      <c r="A72" s="790" t="s">
        <v>857</v>
      </c>
      <c r="B72" s="535"/>
      <c r="C72" s="620"/>
      <c r="D72" s="620"/>
      <c r="E72" s="620"/>
      <c r="F72" s="620"/>
      <c r="G72" s="537"/>
      <c r="K72" s="224"/>
    </row>
    <row r="73" spans="1:11" ht="45" customHeight="1" x14ac:dyDescent="0.25">
      <c r="A73" s="999" t="s">
        <v>856</v>
      </c>
      <c r="B73" s="999"/>
      <c r="C73" s="999"/>
      <c r="D73" s="999"/>
      <c r="E73" s="999"/>
      <c r="F73" s="999"/>
      <c r="G73" s="999"/>
      <c r="H73" s="999"/>
      <c r="K73" s="224"/>
    </row>
    <row r="74" spans="1:11" x14ac:dyDescent="0.25">
      <c r="K74" s="224"/>
    </row>
    <row r="75" spans="1:11" x14ac:dyDescent="0.25">
      <c r="K75" s="224"/>
    </row>
    <row r="76" spans="1:11" x14ac:dyDescent="0.25">
      <c r="J76" s="224"/>
      <c r="K76" s="224"/>
    </row>
    <row r="77" spans="1:11" x14ac:dyDescent="0.25">
      <c r="J77" s="224"/>
      <c r="K77" s="224"/>
    </row>
    <row r="78" spans="1:11" x14ac:dyDescent="0.25">
      <c r="J78" s="224"/>
      <c r="K78" s="224"/>
    </row>
    <row r="79" spans="1:11" x14ac:dyDescent="0.25">
      <c r="A79" s="524"/>
      <c r="J79" s="224"/>
    </row>
    <row r="80" spans="1:11" x14ac:dyDescent="0.25">
      <c r="A80" s="485"/>
      <c r="J80" s="224"/>
    </row>
    <row r="81" spans="10:10" x14ac:dyDescent="0.25">
      <c r="J81" s="224"/>
    </row>
    <row r="82" spans="10:10" x14ac:dyDescent="0.25">
      <c r="J82" s="224"/>
    </row>
    <row r="83" spans="10:10" x14ac:dyDescent="0.25">
      <c r="J83" s="224"/>
    </row>
  </sheetData>
  <sheetProtection algorithmName="SHA-512" hashValue="Zxi+IjOkPnp7MqvAgoW7jrWhu8+1waoOaLpbUZX+OuC7re0Zz3jy2Nlgv6XS56L8inRit+w4mj+xt+onTBmlfQ==" saltValue="/Gzws5DfAJQwqcsz4wcwkQ==" spinCount="100000" sheet="1" objects="1" scenarios="1"/>
  <mergeCells count="10">
    <mergeCell ref="A70:G70"/>
    <mergeCell ref="A73:H73"/>
    <mergeCell ref="A54:F54"/>
    <mergeCell ref="F8:G8"/>
    <mergeCell ref="A20:D20"/>
    <mergeCell ref="A33:H33"/>
    <mergeCell ref="A24:D24"/>
    <mergeCell ref="A29:H29"/>
    <mergeCell ref="A30:H30"/>
    <mergeCell ref="A52:H52"/>
  </mergeCells>
  <hyperlinks>
    <hyperlink ref="A71:G71" r:id="rId1" display="https://www.nrscotland.gov.uk/statistics-and-data/statistics/statistics-by-theme/households/household-estimates/2016/list-of-tables"/>
    <hyperlink ref="A2" location="'Table of Contents'!A1" display="Back to Table of Contents"/>
    <hyperlink ref="A72" r:id="rId2"/>
  </hyperlinks>
  <pageMargins left="0.70866141732283472" right="0.70866141732283472" top="0.74803149606299213" bottom="0.74803149606299213" header="0.31496062992125984" footer="0.31496062992125984"/>
  <pageSetup paperSize="9" scale="61" orientation="portrait"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7" tint="-0.249977111117893"/>
  </sheetPr>
  <dimension ref="A1:K39"/>
  <sheetViews>
    <sheetView showGridLines="0" workbookViewId="0">
      <pane ySplit="2" topLeftCell="A3" activePane="bottomLeft" state="frozen"/>
      <selection sqref="A1:C1"/>
      <selection pane="bottomLeft" sqref="A1:C1"/>
    </sheetView>
  </sheetViews>
  <sheetFormatPr defaultRowHeight="15" x14ac:dyDescent="0.25"/>
  <cols>
    <col min="1" max="1" width="18" customWidth="1"/>
    <col min="2" max="4" width="13.42578125" customWidth="1"/>
    <col min="5" max="5" width="16.7109375" bestFit="1" customWidth="1"/>
    <col min="6" max="6" width="17.140625" customWidth="1"/>
  </cols>
  <sheetData>
    <row r="1" spans="1:11" ht="15.75" x14ac:dyDescent="0.25">
      <c r="A1" s="822" t="s">
        <v>626</v>
      </c>
      <c r="B1" s="822"/>
      <c r="C1" s="822"/>
    </row>
    <row r="2" spans="1:11" ht="15.75" x14ac:dyDescent="0.25">
      <c r="A2" s="790" t="s">
        <v>598</v>
      </c>
      <c r="B2" s="792"/>
      <c r="C2" s="792"/>
    </row>
    <row r="3" spans="1:11" x14ac:dyDescent="0.25">
      <c r="A3" s="31"/>
      <c r="B3" s="31"/>
      <c r="C3" s="31"/>
      <c r="D3" s="31"/>
      <c r="E3" s="31"/>
      <c r="F3" s="31"/>
      <c r="G3" s="31"/>
      <c r="H3" s="31"/>
      <c r="I3" s="31"/>
      <c r="J3" s="31"/>
      <c r="K3" s="31"/>
    </row>
    <row r="4" spans="1:11" ht="15.75" x14ac:dyDescent="0.25">
      <c r="A4" s="1024" t="s">
        <v>629</v>
      </c>
      <c r="B4" s="1024"/>
      <c r="C4" s="1024"/>
      <c r="D4" s="1024"/>
      <c r="E4" s="1024"/>
      <c r="F4" s="1024"/>
      <c r="G4" s="1024"/>
      <c r="H4" s="1024"/>
      <c r="I4" s="1024"/>
      <c r="J4" s="1024"/>
      <c r="K4" s="1024"/>
    </row>
    <row r="5" spans="1:11" ht="15.75" x14ac:dyDescent="0.25">
      <c r="A5" t="s">
        <v>530</v>
      </c>
      <c r="B5" s="796"/>
      <c r="C5" s="796"/>
      <c r="D5" s="796"/>
      <c r="E5" s="796"/>
      <c r="F5" s="796"/>
      <c r="G5" s="796"/>
      <c r="H5" s="796"/>
      <c r="I5" s="796"/>
      <c r="J5" s="796"/>
      <c r="K5" s="796"/>
    </row>
    <row r="6" spans="1:11" ht="15.75" x14ac:dyDescent="0.25">
      <c r="A6" t="s">
        <v>368</v>
      </c>
      <c r="B6" t="s">
        <v>802</v>
      </c>
      <c r="C6" s="796"/>
      <c r="D6" s="796"/>
      <c r="E6" s="796"/>
      <c r="F6" s="796"/>
      <c r="G6" s="796"/>
      <c r="H6" s="796"/>
      <c r="I6" s="796"/>
      <c r="J6" s="796"/>
      <c r="K6" s="796"/>
    </row>
    <row r="7" spans="1:11" ht="15.75" x14ac:dyDescent="0.25">
      <c r="A7" t="s">
        <v>369</v>
      </c>
      <c r="B7" t="s">
        <v>371</v>
      </c>
      <c r="C7" s="796"/>
      <c r="D7" s="796"/>
      <c r="E7" s="796"/>
      <c r="F7" s="796"/>
      <c r="G7" s="796"/>
      <c r="H7" s="796"/>
      <c r="I7" s="796"/>
      <c r="J7" s="796"/>
      <c r="K7" s="796"/>
    </row>
    <row r="8" spans="1:11" ht="15.75" x14ac:dyDescent="0.25">
      <c r="A8" t="s">
        <v>370</v>
      </c>
      <c r="B8" t="s">
        <v>627</v>
      </c>
      <c r="C8" s="796"/>
      <c r="D8" s="796"/>
      <c r="E8" s="796"/>
      <c r="F8" s="796"/>
      <c r="G8" s="796"/>
      <c r="H8" s="796"/>
      <c r="I8" s="796"/>
      <c r="J8" s="796"/>
      <c r="K8" s="796"/>
    </row>
    <row r="9" spans="1:11" ht="15.75" x14ac:dyDescent="0.25">
      <c r="C9" s="796"/>
      <c r="D9" s="796"/>
      <c r="E9" s="796"/>
      <c r="F9" s="796"/>
      <c r="G9" s="796"/>
      <c r="H9" s="796"/>
      <c r="I9" s="796"/>
      <c r="J9" s="796"/>
      <c r="K9" s="796"/>
    </row>
    <row r="10" spans="1:11" x14ac:dyDescent="0.25">
      <c r="B10" s="420"/>
      <c r="C10" s="672" t="s">
        <v>631</v>
      </c>
      <c r="D10" s="672"/>
      <c r="F10" s="420"/>
    </row>
    <row r="11" spans="1:11" s="697" customFormat="1" ht="63.75" customHeight="1" x14ac:dyDescent="0.25">
      <c r="A11" s="420" t="s">
        <v>1</v>
      </c>
      <c r="B11" s="854" t="s">
        <v>632</v>
      </c>
      <c r="C11" s="855" t="s">
        <v>408</v>
      </c>
      <c r="D11" s="855" t="s">
        <v>409</v>
      </c>
      <c r="E11" s="854" t="s">
        <v>410</v>
      </c>
      <c r="F11" s="856" t="s">
        <v>633</v>
      </c>
      <c r="G11"/>
    </row>
    <row r="12" spans="1:11" x14ac:dyDescent="0.25">
      <c r="A12" t="str">
        <f>T17dv!$A5</f>
        <v>2013-14</v>
      </c>
      <c r="B12" s="157">
        <f>T17dv!C5</f>
        <v>66828</v>
      </c>
      <c r="C12" s="863"/>
      <c r="D12" s="863"/>
      <c r="E12" s="864"/>
      <c r="F12" s="865"/>
    </row>
    <row r="13" spans="1:11" x14ac:dyDescent="0.25">
      <c r="A13" t="str">
        <f>T17dv!$A6</f>
        <v>2014-15</v>
      </c>
      <c r="B13" s="157">
        <f>T17dv!C6</f>
        <v>63640</v>
      </c>
      <c r="C13" s="863"/>
      <c r="D13" s="863"/>
      <c r="E13" s="866"/>
      <c r="F13" s="867"/>
    </row>
    <row r="14" spans="1:11" x14ac:dyDescent="0.25">
      <c r="A14" t="str">
        <f>T17dv!$A7</f>
        <v>2015-16</v>
      </c>
      <c r="B14" s="157">
        <f>T17dv!C7</f>
        <v>69038</v>
      </c>
      <c r="C14" s="157">
        <f>T17dv!D7</f>
        <v>176331</v>
      </c>
      <c r="D14" s="863"/>
      <c r="E14" s="866"/>
      <c r="F14" s="867"/>
    </row>
    <row r="15" spans="1:11" x14ac:dyDescent="0.25">
      <c r="A15" t="str">
        <f>T17dv!$A8</f>
        <v>2016-17</v>
      </c>
      <c r="B15" s="157">
        <f>T17dv!C8</f>
        <v>68202</v>
      </c>
      <c r="C15" s="157">
        <f>T17dv!D8</f>
        <v>177208</v>
      </c>
      <c r="D15" s="863"/>
      <c r="E15" s="861">
        <f>T17dv!$F8</f>
        <v>45412</v>
      </c>
      <c r="F15" s="859">
        <f>E15/'Distinct Properties'!B15</f>
        <v>0.66584557637605934</v>
      </c>
    </row>
    <row r="16" spans="1:11" x14ac:dyDescent="0.25">
      <c r="A16" t="str">
        <f>T17dv!$A9</f>
        <v>2017-18</v>
      </c>
      <c r="B16" s="157">
        <f>T17dv!C9</f>
        <v>67131</v>
      </c>
      <c r="C16" s="157">
        <f>T17dv!D9</f>
        <v>180398</v>
      </c>
      <c r="D16" s="157">
        <f>T17dv!E9</f>
        <v>264044</v>
      </c>
      <c r="E16" s="861">
        <f>T17dv!$F9</f>
        <v>45808</v>
      </c>
      <c r="F16" s="859">
        <f>E16/'Distinct Properties'!B16</f>
        <v>0.68236731167418929</v>
      </c>
    </row>
    <row r="17" spans="1:11" ht="15.75" thickBot="1" x14ac:dyDescent="0.3">
      <c r="A17" s="482" t="str">
        <f>T17dv!$A10</f>
        <v>2018-19</v>
      </c>
      <c r="B17" s="858">
        <f>T17dv!C10</f>
        <v>66172</v>
      </c>
      <c r="C17" s="858">
        <f>T17dv!D10</f>
        <v>176569</v>
      </c>
      <c r="D17" s="858">
        <f>T17dv!E10</f>
        <v>267528</v>
      </c>
      <c r="E17" s="862">
        <f>T17dv!$F10</f>
        <v>47295</v>
      </c>
      <c r="F17" s="860">
        <f>E17/'Distinct Properties'!B17</f>
        <v>0.71472828386628784</v>
      </c>
    </row>
    <row r="19" spans="1:11" x14ac:dyDescent="0.25">
      <c r="A19" s="438" t="s">
        <v>8</v>
      </c>
    </row>
    <row r="20" spans="1:11" ht="45" customHeight="1" x14ac:dyDescent="0.25">
      <c r="A20" s="999" t="s">
        <v>859</v>
      </c>
      <c r="B20" s="999"/>
      <c r="C20" s="999"/>
      <c r="D20" s="999"/>
      <c r="E20" s="999"/>
      <c r="F20" s="999"/>
    </row>
    <row r="21" spans="1:11" x14ac:dyDescent="0.25">
      <c r="A21" t="s">
        <v>858</v>
      </c>
    </row>
    <row r="23" spans="1:11" ht="15.75" x14ac:dyDescent="0.25">
      <c r="A23" s="1024" t="s">
        <v>630</v>
      </c>
      <c r="B23" s="1024"/>
      <c r="C23" s="1024"/>
      <c r="D23" s="1024"/>
      <c r="E23" s="1024"/>
      <c r="F23" s="1024"/>
      <c r="G23" s="1024"/>
      <c r="H23" s="1024"/>
      <c r="I23" s="1024"/>
      <c r="J23" s="1024"/>
      <c r="K23" s="1024"/>
    </row>
    <row r="24" spans="1:11" ht="15.75" x14ac:dyDescent="0.25">
      <c r="A24" t="s">
        <v>530</v>
      </c>
      <c r="B24" s="796"/>
      <c r="C24" s="796"/>
      <c r="D24" s="796"/>
      <c r="E24" s="796"/>
      <c r="F24" s="796"/>
      <c r="G24" s="796"/>
      <c r="H24" s="796"/>
      <c r="I24" s="796"/>
      <c r="J24" s="796"/>
      <c r="K24" s="796"/>
    </row>
    <row r="25" spans="1:11" ht="15.75" x14ac:dyDescent="0.25">
      <c r="A25" t="s">
        <v>368</v>
      </c>
      <c r="B25" t="s">
        <v>803</v>
      </c>
      <c r="C25" s="796"/>
      <c r="D25" s="796"/>
      <c r="E25" s="796"/>
      <c r="F25" s="796"/>
      <c r="G25" s="796"/>
      <c r="H25" s="796"/>
      <c r="I25" s="796"/>
      <c r="J25" s="796"/>
      <c r="K25" s="796"/>
    </row>
    <row r="26" spans="1:11" ht="15.75" x14ac:dyDescent="0.25">
      <c r="A26" t="s">
        <v>369</v>
      </c>
      <c r="B26" t="s">
        <v>371</v>
      </c>
      <c r="C26" s="796"/>
      <c r="D26" s="796"/>
      <c r="E26" s="796"/>
      <c r="F26" s="796"/>
      <c r="G26" s="796"/>
      <c r="H26" s="796"/>
      <c r="I26" s="796"/>
      <c r="J26" s="796"/>
      <c r="K26" s="796"/>
    </row>
    <row r="27" spans="1:11" ht="15.75" x14ac:dyDescent="0.25">
      <c r="A27" t="s">
        <v>370</v>
      </c>
      <c r="B27" t="s">
        <v>627</v>
      </c>
      <c r="C27" s="796"/>
      <c r="D27" s="796"/>
      <c r="E27" s="796"/>
      <c r="F27" s="796"/>
      <c r="G27" s="796"/>
      <c r="H27" s="796"/>
      <c r="I27" s="796"/>
      <c r="J27" s="796"/>
      <c r="K27" s="796"/>
    </row>
    <row r="29" spans="1:11" ht="30.75" customHeight="1" x14ac:dyDescent="0.25">
      <c r="B29" s="1037" t="s">
        <v>634</v>
      </c>
      <c r="C29" s="1037"/>
      <c r="D29" s="1037"/>
    </row>
    <row r="30" spans="1:11" ht="30" x14ac:dyDescent="0.25">
      <c r="A30" s="853" t="s">
        <v>1</v>
      </c>
      <c r="B30" s="871" t="s">
        <v>407</v>
      </c>
      <c r="C30" s="853" t="s">
        <v>408</v>
      </c>
      <c r="D30" s="853" t="s">
        <v>409</v>
      </c>
    </row>
    <row r="31" spans="1:11" x14ac:dyDescent="0.25">
      <c r="A31" t="str">
        <f>T17dv!$A11</f>
        <v>2013-14</v>
      </c>
      <c r="B31" s="157">
        <f>T17dv!C11</f>
        <v>29094</v>
      </c>
      <c r="C31" s="863"/>
      <c r="D31" s="872"/>
    </row>
    <row r="32" spans="1:11" x14ac:dyDescent="0.25">
      <c r="A32" t="str">
        <f>T17dv!$A12</f>
        <v>2014-15</v>
      </c>
      <c r="B32" s="157">
        <f>T17dv!C12</f>
        <v>26541</v>
      </c>
      <c r="C32" s="863"/>
      <c r="D32" s="868"/>
    </row>
    <row r="33" spans="1:6" x14ac:dyDescent="0.25">
      <c r="A33" t="str">
        <f>T17dv!$A13</f>
        <v>2015-16</v>
      </c>
      <c r="B33" s="157">
        <f>T17dv!C13</f>
        <v>27846</v>
      </c>
      <c r="C33" s="157">
        <f>T17dv!D13</f>
        <v>79298</v>
      </c>
      <c r="D33" s="868"/>
    </row>
    <row r="34" spans="1:6" x14ac:dyDescent="0.25">
      <c r="A34" t="str">
        <f>T17dv!$A14</f>
        <v>2016-17</v>
      </c>
      <c r="B34" s="157">
        <f>T17dv!C14</f>
        <v>28400</v>
      </c>
      <c r="C34" s="157">
        <f>T17dv!D14</f>
        <v>78665</v>
      </c>
      <c r="D34" s="868"/>
    </row>
    <row r="35" spans="1:6" x14ac:dyDescent="0.25">
      <c r="A35" t="str">
        <f>T17dv!$A15</f>
        <v>2017-18</v>
      </c>
      <c r="B35" s="157">
        <f>T17dv!C15</f>
        <v>27184</v>
      </c>
      <c r="C35" s="157">
        <f>T17dv!D15</f>
        <v>79049</v>
      </c>
      <c r="D35" s="869">
        <f>T17dv!E15</f>
        <v>121558</v>
      </c>
    </row>
    <row r="36" spans="1:6" ht="15.75" thickBot="1" x14ac:dyDescent="0.3">
      <c r="A36" s="482" t="str">
        <f>T17dv!$A16</f>
        <v>2018-19</v>
      </c>
      <c r="B36" s="858">
        <f>T17dv!C16</f>
        <v>23983</v>
      </c>
      <c r="C36" s="858">
        <f>T17dv!D16</f>
        <v>75241</v>
      </c>
      <c r="D36" s="870">
        <f>T17dv!E16</f>
        <v>119649</v>
      </c>
    </row>
    <row r="38" spans="1:6" x14ac:dyDescent="0.25">
      <c r="A38" s="438" t="s">
        <v>8</v>
      </c>
    </row>
    <row r="39" spans="1:6" ht="45" customHeight="1" x14ac:dyDescent="0.25">
      <c r="A39" s="999" t="s">
        <v>860</v>
      </c>
      <c r="B39" s="999"/>
      <c r="C39" s="999"/>
      <c r="D39" s="999"/>
      <c r="E39" s="999"/>
      <c r="F39" s="999"/>
    </row>
  </sheetData>
  <sheetProtection algorithmName="SHA-512" hashValue="7/mtbHjMU5aej4I+2W5/Q9KQ31RVC9FI7PMQZiV7A/XBqzrAprmH4xiVFs2zY6qTnYHT3eYKfAB4koUxrbARwA==" saltValue="dHmxKTdoSciiWSuBCVITPw==" spinCount="100000" sheet="1" objects="1" scenarios="1"/>
  <mergeCells count="5">
    <mergeCell ref="A4:K4"/>
    <mergeCell ref="A23:K23"/>
    <mergeCell ref="B29:D29"/>
    <mergeCell ref="A20:F20"/>
    <mergeCell ref="A39:F39"/>
  </mergeCells>
  <hyperlinks>
    <hyperlink ref="A2" location="'Table of Contents'!A1" display="Back to Table of Contents"/>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7" tint="-0.249977111117893"/>
  </sheetPr>
  <dimension ref="A1:K40"/>
  <sheetViews>
    <sheetView showGridLines="0" workbookViewId="0">
      <pane ySplit="2" topLeftCell="A3" activePane="bottomLeft" state="frozen"/>
      <selection sqref="A1:C1"/>
      <selection pane="bottomLeft" sqref="A1:C1"/>
    </sheetView>
  </sheetViews>
  <sheetFormatPr defaultRowHeight="15" x14ac:dyDescent="0.25"/>
  <cols>
    <col min="1" max="1" width="17.42578125" customWidth="1"/>
    <col min="2" max="5" width="11.42578125" customWidth="1"/>
  </cols>
  <sheetData>
    <row r="1" spans="1:11" ht="15.75" x14ac:dyDescent="0.25">
      <c r="A1" s="822" t="s">
        <v>626</v>
      </c>
      <c r="B1" s="822"/>
      <c r="C1" s="822"/>
    </row>
    <row r="2" spans="1:11" ht="15.75" x14ac:dyDescent="0.25">
      <c r="A2" s="790" t="s">
        <v>598</v>
      </c>
      <c r="B2" s="792"/>
      <c r="C2" s="792"/>
    </row>
    <row r="3" spans="1:11" x14ac:dyDescent="0.25">
      <c r="A3" s="31"/>
      <c r="B3" s="31"/>
      <c r="C3" s="31"/>
      <c r="D3" s="31"/>
      <c r="E3" s="31"/>
      <c r="F3" s="31"/>
      <c r="G3" s="31"/>
      <c r="H3" s="31"/>
      <c r="I3" s="31"/>
      <c r="J3" s="31"/>
      <c r="K3" s="31"/>
    </row>
    <row r="4" spans="1:11" ht="15.75" customHeight="1" x14ac:dyDescent="0.25">
      <c r="A4" s="876" t="s">
        <v>635</v>
      </c>
      <c r="B4" s="876"/>
      <c r="C4" s="876"/>
      <c r="D4" s="876"/>
      <c r="E4" s="876"/>
      <c r="F4" s="876"/>
      <c r="G4" s="876"/>
      <c r="H4" s="876"/>
      <c r="I4" s="876"/>
      <c r="J4" s="876"/>
      <c r="K4" s="876"/>
    </row>
    <row r="5" spans="1:11" ht="15.75" x14ac:dyDescent="0.25">
      <c r="A5" t="s">
        <v>530</v>
      </c>
      <c r="B5" s="796"/>
      <c r="C5" s="796"/>
      <c r="D5" s="796"/>
      <c r="E5" s="796"/>
      <c r="F5" s="796"/>
      <c r="G5" s="796"/>
      <c r="H5" s="796"/>
      <c r="I5" s="796"/>
      <c r="J5" s="796"/>
      <c r="K5" s="796"/>
    </row>
    <row r="6" spans="1:11" ht="15.75" x14ac:dyDescent="0.25">
      <c r="A6" t="s">
        <v>368</v>
      </c>
      <c r="B6" t="s">
        <v>804</v>
      </c>
      <c r="C6" s="796"/>
      <c r="D6" s="796"/>
      <c r="E6" s="796"/>
      <c r="F6" s="796"/>
      <c r="G6" s="796"/>
      <c r="H6" s="796"/>
      <c r="I6" s="796"/>
      <c r="J6" s="796"/>
      <c r="K6" s="796"/>
    </row>
    <row r="7" spans="1:11" ht="15.75" x14ac:dyDescent="0.25">
      <c r="A7" t="s">
        <v>369</v>
      </c>
      <c r="B7" t="s">
        <v>371</v>
      </c>
      <c r="C7" s="796"/>
      <c r="D7" s="796"/>
      <c r="E7" s="796"/>
      <c r="F7" s="796"/>
      <c r="G7" s="796"/>
      <c r="H7" s="796"/>
      <c r="I7" s="796"/>
      <c r="J7" s="796"/>
      <c r="K7" s="796"/>
    </row>
    <row r="8" spans="1:11" ht="15.75" x14ac:dyDescent="0.25">
      <c r="A8" t="s">
        <v>370</v>
      </c>
      <c r="B8" t="s">
        <v>627</v>
      </c>
      <c r="C8" s="796"/>
      <c r="D8" s="796"/>
      <c r="E8" s="796"/>
      <c r="F8" s="796"/>
      <c r="G8" s="796"/>
      <c r="H8" s="796"/>
      <c r="I8" s="796"/>
      <c r="J8" s="796"/>
      <c r="K8" s="796"/>
    </row>
    <row r="10" spans="1:11" x14ac:dyDescent="0.25">
      <c r="B10" s="420"/>
      <c r="C10" s="873" t="s">
        <v>507</v>
      </c>
      <c r="D10" s="420"/>
    </row>
    <row r="11" spans="1:11" s="697" customFormat="1" ht="30" customHeight="1" x14ac:dyDescent="0.25">
      <c r="A11" s="853" t="s">
        <v>1</v>
      </c>
      <c r="B11" s="853" t="s">
        <v>407</v>
      </c>
      <c r="C11" s="853" t="s">
        <v>408</v>
      </c>
      <c r="D11" s="853" t="s">
        <v>409</v>
      </c>
      <c r="E11"/>
    </row>
    <row r="12" spans="1:11" x14ac:dyDescent="0.25">
      <c r="A12" t="str">
        <f>T17dv!$A5</f>
        <v>2013-14</v>
      </c>
      <c r="B12" s="625">
        <f>T17dv!J5/100</f>
        <v>2.7800000000000002E-2</v>
      </c>
      <c r="C12" s="874"/>
      <c r="D12" s="874"/>
    </row>
    <row r="13" spans="1:11" x14ac:dyDescent="0.25">
      <c r="A13" t="str">
        <f>T17dv!$A6</f>
        <v>2014-15</v>
      </c>
      <c r="B13" s="625">
        <f>T17dv!J6/100</f>
        <v>2.63E-2</v>
      </c>
      <c r="C13" s="874"/>
      <c r="D13" s="874"/>
    </row>
    <row r="14" spans="1:11" x14ac:dyDescent="0.25">
      <c r="A14" t="str">
        <f>T17dv!$A7</f>
        <v>2015-16</v>
      </c>
      <c r="B14" s="625">
        <f>T17dv!J7/100</f>
        <v>2.8399999999999998E-2</v>
      </c>
      <c r="C14" s="625">
        <f>T17dv!K7/100</f>
        <v>7.2999999999999995E-2</v>
      </c>
      <c r="D14" s="874"/>
    </row>
    <row r="15" spans="1:11" x14ac:dyDescent="0.25">
      <c r="A15" t="str">
        <f>T17dv!$A8</f>
        <v>2016-17</v>
      </c>
      <c r="B15" s="625">
        <f>T17dv!J8/100</f>
        <v>2.7900000000000001E-2</v>
      </c>
      <c r="C15" s="625">
        <f>T17dv!K8/100</f>
        <v>7.2900000000000006E-2</v>
      </c>
      <c r="D15" s="874"/>
    </row>
    <row r="16" spans="1:11" x14ac:dyDescent="0.25">
      <c r="A16" t="str">
        <f>T17dv!$A9</f>
        <v>2017-18</v>
      </c>
      <c r="B16" s="625">
        <f>T17dv!J9/100</f>
        <v>2.7300000000000001E-2</v>
      </c>
      <c r="C16" s="625">
        <f>T17dv!K9/100</f>
        <v>7.3700000000000002E-2</v>
      </c>
      <c r="D16" s="625">
        <f>T17dv!L9/100</f>
        <v>0.1079</v>
      </c>
    </row>
    <row r="17" spans="1:11" ht="15.75" thickBot="1" x14ac:dyDescent="0.3">
      <c r="A17" s="482" t="str">
        <f>T17dv!$A10</f>
        <v>2018-19</v>
      </c>
      <c r="B17" s="857">
        <f>T17dv!J10/100</f>
        <v>2.6699999999999998E-2</v>
      </c>
      <c r="C17" s="857">
        <f>T17dv!K10/100</f>
        <v>7.17E-2</v>
      </c>
      <c r="D17" s="857">
        <f>T17dv!L10/100</f>
        <v>0.10869999999999999</v>
      </c>
    </row>
    <row r="19" spans="1:11" x14ac:dyDescent="0.25">
      <c r="A19" s="438" t="s">
        <v>8</v>
      </c>
    </row>
    <row r="20" spans="1:11" ht="30" customHeight="1" x14ac:dyDescent="0.25">
      <c r="A20" s="999" t="s">
        <v>861</v>
      </c>
      <c r="B20" s="999"/>
      <c r="C20" s="999"/>
      <c r="D20" s="999"/>
      <c r="E20" s="999"/>
      <c r="F20" s="999"/>
      <c r="G20" s="999"/>
      <c r="H20" s="999"/>
      <c r="I20" s="999"/>
    </row>
    <row r="21" spans="1:11" x14ac:dyDescent="0.25">
      <c r="A21" s="790" t="s">
        <v>857</v>
      </c>
    </row>
    <row r="23" spans="1:11" ht="15.75" customHeight="1" x14ac:dyDescent="0.25">
      <c r="A23" s="876" t="s">
        <v>692</v>
      </c>
      <c r="B23" s="876"/>
      <c r="C23" s="876"/>
      <c r="D23" s="876"/>
      <c r="E23" s="876"/>
      <c r="F23" s="876"/>
      <c r="G23" s="876"/>
      <c r="H23" s="876"/>
      <c r="I23" s="876"/>
      <c r="J23" s="876"/>
      <c r="K23" s="876"/>
    </row>
    <row r="24" spans="1:11" ht="15.75" x14ac:dyDescent="0.25">
      <c r="A24" t="s">
        <v>530</v>
      </c>
      <c r="B24" s="796"/>
      <c r="C24" s="796"/>
      <c r="D24" s="796"/>
      <c r="E24" s="796"/>
      <c r="F24" s="796"/>
      <c r="G24" s="796"/>
      <c r="H24" s="796"/>
      <c r="I24" s="796"/>
      <c r="J24" s="796"/>
      <c r="K24" s="796"/>
    </row>
    <row r="25" spans="1:11" ht="15.75" x14ac:dyDescent="0.25">
      <c r="A25" t="s">
        <v>368</v>
      </c>
      <c r="B25" t="s">
        <v>805</v>
      </c>
      <c r="C25" s="796"/>
      <c r="D25" s="796"/>
      <c r="E25" s="796"/>
      <c r="F25" s="796"/>
      <c r="G25" s="796"/>
      <c r="H25" s="796"/>
      <c r="I25" s="796"/>
      <c r="J25" s="796"/>
      <c r="K25" s="796"/>
    </row>
    <row r="26" spans="1:11" ht="15.75" x14ac:dyDescent="0.25">
      <c r="A26" t="s">
        <v>369</v>
      </c>
      <c r="B26" t="s">
        <v>371</v>
      </c>
      <c r="C26" s="796"/>
      <c r="D26" s="796"/>
      <c r="E26" s="796"/>
      <c r="F26" s="796"/>
      <c r="G26" s="796"/>
      <c r="H26" s="796"/>
      <c r="I26" s="796"/>
      <c r="J26" s="796"/>
      <c r="K26" s="796"/>
    </row>
    <row r="27" spans="1:11" ht="15.75" x14ac:dyDescent="0.25">
      <c r="A27" t="s">
        <v>370</v>
      </c>
      <c r="B27" t="s">
        <v>627</v>
      </c>
      <c r="C27" s="796"/>
      <c r="D27" s="796"/>
      <c r="E27" s="796"/>
      <c r="F27" s="796"/>
      <c r="G27" s="796"/>
      <c r="H27" s="796"/>
      <c r="I27" s="796"/>
      <c r="J27" s="796"/>
      <c r="K27" s="796"/>
    </row>
    <row r="29" spans="1:11" ht="29.25" customHeight="1" x14ac:dyDescent="0.25">
      <c r="B29" s="1038" t="s">
        <v>508</v>
      </c>
      <c r="C29" s="1038"/>
      <c r="D29" s="1038"/>
    </row>
    <row r="30" spans="1:11" ht="30" x14ac:dyDescent="0.25">
      <c r="A30" s="420" t="s">
        <v>1</v>
      </c>
      <c r="B30" s="855" t="s">
        <v>407</v>
      </c>
      <c r="C30" s="855" t="s">
        <v>408</v>
      </c>
      <c r="D30" s="855" t="s">
        <v>409</v>
      </c>
    </row>
    <row r="31" spans="1:11" x14ac:dyDescent="0.25">
      <c r="A31" t="s">
        <v>207</v>
      </c>
      <c r="B31" s="625">
        <f>T17dv!J11/100</f>
        <v>1.21E-2</v>
      </c>
      <c r="C31" s="874"/>
      <c r="D31" s="874"/>
    </row>
    <row r="32" spans="1:11" x14ac:dyDescent="0.25">
      <c r="A32" t="s">
        <v>206</v>
      </c>
      <c r="B32" s="625">
        <f>T17dv!J12/100</f>
        <v>1.1000000000000001E-2</v>
      </c>
      <c r="C32" s="874"/>
      <c r="D32" s="874"/>
    </row>
    <row r="33" spans="1:9" x14ac:dyDescent="0.25">
      <c r="A33" t="s">
        <v>205</v>
      </c>
      <c r="B33" s="625">
        <f>T17dv!J13/100</f>
        <v>1.15E-2</v>
      </c>
      <c r="C33" s="625">
        <f>T17dv!K13/100</f>
        <v>3.2800000000000003E-2</v>
      </c>
      <c r="D33" s="874"/>
    </row>
    <row r="34" spans="1:9" x14ac:dyDescent="0.25">
      <c r="A34" t="s">
        <v>278</v>
      </c>
      <c r="B34" s="625">
        <f>T17dv!J14/100</f>
        <v>1.1599999999999999E-2</v>
      </c>
      <c r="C34" s="625">
        <f>T17dv!K14/100</f>
        <v>3.2400000000000005E-2</v>
      </c>
      <c r="D34" s="874"/>
      <c r="G34" s="625"/>
    </row>
    <row r="35" spans="1:9" x14ac:dyDescent="0.25">
      <c r="A35" t="s">
        <v>259</v>
      </c>
      <c r="B35" s="625">
        <f>T17dv!J15/100</f>
        <v>1.1000000000000001E-2</v>
      </c>
      <c r="C35" s="625">
        <f>T17dv!K15/100</f>
        <v>3.2300000000000002E-2</v>
      </c>
      <c r="D35" s="625">
        <f>T17dv!L15/100</f>
        <v>4.9699999999999994E-2</v>
      </c>
      <c r="G35" s="625"/>
    </row>
    <row r="36" spans="1:9" ht="15.75" thickBot="1" x14ac:dyDescent="0.3">
      <c r="A36" s="482" t="s">
        <v>258</v>
      </c>
      <c r="B36" s="857">
        <f>T17dv!J16/100</f>
        <v>9.7000000000000003E-3</v>
      </c>
      <c r="C36" s="857">
        <f>T17dv!K16/100</f>
        <v>3.0600000000000002E-2</v>
      </c>
      <c r="D36" s="857">
        <f>T17dv!L16/100</f>
        <v>4.8600000000000004E-2</v>
      </c>
      <c r="G36" s="625"/>
    </row>
    <row r="37" spans="1:9" x14ac:dyDescent="0.25">
      <c r="G37" s="625"/>
    </row>
    <row r="38" spans="1:9" x14ac:dyDescent="0.25">
      <c r="A38" s="438" t="s">
        <v>8</v>
      </c>
      <c r="G38" s="625"/>
    </row>
    <row r="39" spans="1:9" ht="45" customHeight="1" x14ac:dyDescent="0.25">
      <c r="A39" s="999" t="s">
        <v>862</v>
      </c>
      <c r="B39" s="999"/>
      <c r="C39" s="999"/>
      <c r="D39" s="999"/>
      <c r="E39" s="999"/>
      <c r="F39" s="999"/>
      <c r="G39" s="999"/>
      <c r="H39" s="999"/>
      <c r="I39" s="999"/>
    </row>
    <row r="40" spans="1:9" x14ac:dyDescent="0.25">
      <c r="A40" s="790" t="s">
        <v>857</v>
      </c>
    </row>
  </sheetData>
  <sheetProtection algorithmName="SHA-512" hashValue="k5jI4h8w+80LrrntJG/PMIRmI/IslDwJBYfVTIVJ2eKVa06ITP7OhfyHK4rPbIoiysWEeaOmv5gMAB/SeRRpPg==" saltValue="Sfp7lPAuORcxNpFt3mg1lQ==" spinCount="100000" sheet="1" objects="1" scenarios="1"/>
  <mergeCells count="3">
    <mergeCell ref="B29:D29"/>
    <mergeCell ref="A39:I39"/>
    <mergeCell ref="A20:I20"/>
  </mergeCells>
  <hyperlinks>
    <hyperlink ref="A2" location="'Table of Contents'!A1" display="Back to Table of Contents"/>
    <hyperlink ref="A21" r:id="rId1"/>
    <hyperlink ref="A40" r:id="rId2"/>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7" tint="-0.249977111117893"/>
  </sheetPr>
  <dimension ref="A1:K41"/>
  <sheetViews>
    <sheetView showGridLines="0" workbookViewId="0">
      <pane ySplit="2" topLeftCell="A3" activePane="bottomLeft" state="frozen"/>
      <selection sqref="A1:C1"/>
      <selection pane="bottomLeft" sqref="A1:C1"/>
    </sheetView>
  </sheetViews>
  <sheetFormatPr defaultRowHeight="15" x14ac:dyDescent="0.25"/>
  <cols>
    <col min="1" max="1" width="19.85546875" customWidth="1"/>
    <col min="2" max="8" width="15.7109375" customWidth="1"/>
    <col min="9" max="15" width="19.85546875" bestFit="1" customWidth="1"/>
    <col min="16" max="16" width="19.85546875" customWidth="1"/>
    <col min="17" max="21" width="19.85546875" bestFit="1" customWidth="1"/>
    <col min="22" max="22" width="17.28515625" bestFit="1" customWidth="1"/>
    <col min="23" max="23" width="24.7109375" bestFit="1" customWidth="1"/>
    <col min="24" max="24" width="18.7109375" bestFit="1" customWidth="1"/>
  </cols>
  <sheetData>
    <row r="1" spans="1:11" ht="15.75" x14ac:dyDescent="0.25">
      <c r="A1" s="822" t="s">
        <v>626</v>
      </c>
      <c r="B1" s="822"/>
      <c r="C1" s="822"/>
    </row>
    <row r="2" spans="1:11" ht="15.75" x14ac:dyDescent="0.25">
      <c r="A2" s="790" t="s">
        <v>598</v>
      </c>
      <c r="B2" s="798"/>
      <c r="C2" s="798"/>
    </row>
    <row r="3" spans="1:11" x14ac:dyDescent="0.25">
      <c r="A3" s="31"/>
      <c r="B3" s="31"/>
      <c r="C3" s="31"/>
      <c r="D3" s="31"/>
      <c r="E3" s="31"/>
      <c r="F3" s="31"/>
      <c r="G3" s="31"/>
      <c r="H3" s="31"/>
      <c r="I3" s="31"/>
      <c r="J3" s="31"/>
      <c r="K3" s="31"/>
    </row>
    <row r="4" spans="1:11" ht="15.75" customHeight="1" x14ac:dyDescent="0.25">
      <c r="A4" s="876" t="s">
        <v>694</v>
      </c>
      <c r="B4" s="876"/>
      <c r="C4" s="876"/>
      <c r="D4" s="876"/>
      <c r="E4" s="876"/>
      <c r="F4" s="876"/>
      <c r="G4" s="876"/>
      <c r="H4" s="876"/>
      <c r="I4" s="876"/>
      <c r="J4" s="876"/>
      <c r="K4" s="876"/>
    </row>
    <row r="5" spans="1:11" ht="15.75" x14ac:dyDescent="0.25">
      <c r="A5" t="s">
        <v>530</v>
      </c>
      <c r="B5" s="802"/>
      <c r="C5" s="802"/>
      <c r="D5" s="802"/>
      <c r="E5" s="802"/>
      <c r="F5" s="802"/>
      <c r="G5" s="802"/>
      <c r="H5" s="802"/>
      <c r="I5" s="802"/>
      <c r="J5" s="802"/>
      <c r="K5" s="802"/>
    </row>
    <row r="6" spans="1:11" ht="15.75" x14ac:dyDescent="0.25">
      <c r="A6" t="s">
        <v>368</v>
      </c>
      <c r="B6" t="s">
        <v>806</v>
      </c>
      <c r="C6" s="802"/>
      <c r="D6" s="802"/>
      <c r="E6" s="802"/>
      <c r="F6" s="802"/>
      <c r="G6" s="802"/>
      <c r="H6" s="802"/>
      <c r="I6" s="802"/>
      <c r="J6" s="802"/>
      <c r="K6" s="802"/>
    </row>
    <row r="7" spans="1:11" ht="15.75" x14ac:dyDescent="0.25">
      <c r="A7" t="s">
        <v>369</v>
      </c>
      <c r="B7" t="s">
        <v>371</v>
      </c>
      <c r="C7" s="802"/>
      <c r="D7" s="802"/>
      <c r="E7" s="802"/>
      <c r="F7" s="802"/>
      <c r="G7" s="802"/>
      <c r="H7" s="802"/>
      <c r="I7" s="802"/>
      <c r="J7" s="802"/>
      <c r="K7" s="802"/>
    </row>
    <row r="8" spans="1:11" ht="15.75" x14ac:dyDescent="0.25">
      <c r="A8" t="s">
        <v>370</v>
      </c>
      <c r="B8" t="s">
        <v>627</v>
      </c>
      <c r="C8" s="802"/>
      <c r="D8" s="802"/>
      <c r="E8" s="802"/>
      <c r="F8" s="802"/>
      <c r="G8" s="802"/>
      <c r="H8" s="802"/>
      <c r="I8" s="802"/>
      <c r="J8" s="802"/>
      <c r="K8" s="802"/>
    </row>
    <row r="9" spans="1:11" ht="15.75" x14ac:dyDescent="0.25">
      <c r="C9" s="802"/>
      <c r="D9" s="802"/>
      <c r="E9" s="802"/>
      <c r="F9" s="802"/>
      <c r="G9" s="802"/>
      <c r="H9" s="802"/>
      <c r="I9" s="802"/>
      <c r="J9" s="802"/>
      <c r="K9" s="802"/>
    </row>
    <row r="10" spans="1:11" x14ac:dyDescent="0.25">
      <c r="C10" s="877" t="s">
        <v>636</v>
      </c>
    </row>
    <row r="11" spans="1:11" s="438" customFormat="1" x14ac:dyDescent="0.25">
      <c r="A11" s="879" t="s">
        <v>1</v>
      </c>
      <c r="B11" s="880" t="s">
        <v>400</v>
      </c>
      <c r="C11" s="880" t="s">
        <v>401</v>
      </c>
      <c r="D11" s="880" t="s">
        <v>402</v>
      </c>
      <c r="E11" s="880" t="s">
        <v>403</v>
      </c>
      <c r="F11" s="880" t="s">
        <v>404</v>
      </c>
      <c r="G11" s="880" t="s">
        <v>405</v>
      </c>
      <c r="H11" s="880" t="s">
        <v>406</v>
      </c>
    </row>
    <row r="12" spans="1:11" x14ac:dyDescent="0.25">
      <c r="A12" s="438" t="str">
        <f>T17ap!A5</f>
        <v>2013-14</v>
      </c>
      <c r="B12" s="157">
        <f>T17ap!B5</f>
        <v>9522</v>
      </c>
      <c r="C12" s="157">
        <f>T17ap!C5</f>
        <v>8380</v>
      </c>
      <c r="D12" s="157">
        <f>T17ap!D5</f>
        <v>6148</v>
      </c>
      <c r="E12" s="157">
        <f>T17ap!E5</f>
        <v>21436</v>
      </c>
      <c r="F12" s="157">
        <f>T17ap!F5</f>
        <v>45977</v>
      </c>
      <c r="G12" s="157">
        <f>T17ap!G5</f>
        <v>43452</v>
      </c>
      <c r="H12" s="157">
        <f>T17ap!H5</f>
        <v>134915</v>
      </c>
      <c r="I12" s="224"/>
    </row>
    <row r="13" spans="1:11" x14ac:dyDescent="0.25">
      <c r="A13" s="438" t="str">
        <f>T17ap!A6</f>
        <v>2014-15</v>
      </c>
      <c r="B13" s="157">
        <f>T17ap!B6</f>
        <v>9301</v>
      </c>
      <c r="C13" s="157">
        <f>T17ap!C6</f>
        <v>8100</v>
      </c>
      <c r="D13" s="157">
        <f>T17ap!D6</f>
        <v>5611</v>
      </c>
      <c r="E13" s="157">
        <f>T17ap!E6</f>
        <v>17596</v>
      </c>
      <c r="F13" s="157">
        <f>T17ap!F6</f>
        <v>41757</v>
      </c>
      <c r="G13" s="157">
        <f>T17ap!G6</f>
        <v>43049</v>
      </c>
      <c r="H13" s="157">
        <f>T17ap!H6</f>
        <v>125414</v>
      </c>
      <c r="I13" s="224"/>
    </row>
    <row r="14" spans="1:11" x14ac:dyDescent="0.25">
      <c r="A14" s="438" t="str">
        <f>T17ap!A7</f>
        <v>2015-16</v>
      </c>
      <c r="B14" s="157">
        <f>T17ap!B7</f>
        <v>9270</v>
      </c>
      <c r="C14" s="157">
        <f>T17ap!C7</f>
        <v>8385</v>
      </c>
      <c r="D14" s="157">
        <f>T17ap!D7</f>
        <v>5779</v>
      </c>
      <c r="E14" s="157">
        <f>T17ap!E7</f>
        <v>17567</v>
      </c>
      <c r="F14" s="157">
        <f>T17ap!F7</f>
        <v>43993</v>
      </c>
      <c r="G14" s="157">
        <f>T17ap!G7</f>
        <v>49733</v>
      </c>
      <c r="H14" s="157">
        <f>T17ap!H7</f>
        <v>134727</v>
      </c>
      <c r="I14" s="224"/>
    </row>
    <row r="15" spans="1:11" x14ac:dyDescent="0.25">
      <c r="A15" s="438" t="str">
        <f>T17ap!A8</f>
        <v>2016-17</v>
      </c>
      <c r="B15" s="157">
        <f>T17ap!B8</f>
        <v>7684</v>
      </c>
      <c r="C15" s="157">
        <f>T17ap!C8</f>
        <v>7946</v>
      </c>
      <c r="D15" s="157">
        <f>T17ap!D8</f>
        <v>5618</v>
      </c>
      <c r="E15" s="157">
        <f>T17ap!E8</f>
        <v>13022</v>
      </c>
      <c r="F15" s="157">
        <f>T17ap!F8</f>
        <v>42674</v>
      </c>
      <c r="G15" s="157">
        <f>T17ap!G8</f>
        <v>52263</v>
      </c>
      <c r="H15" s="157">
        <f>T17ap!H8</f>
        <v>129207</v>
      </c>
      <c r="I15" s="224"/>
    </row>
    <row r="16" spans="1:11" x14ac:dyDescent="0.25">
      <c r="A16" s="438" t="str">
        <f>T17ap!A9</f>
        <v>2017-18</v>
      </c>
      <c r="B16" s="157">
        <f>T17ap!B9</f>
        <v>7694</v>
      </c>
      <c r="C16" s="157">
        <f>T17ap!C9</f>
        <v>7954</v>
      </c>
      <c r="D16" s="157">
        <f>T17ap!D9</f>
        <v>5364</v>
      </c>
      <c r="E16" s="157">
        <f>T17ap!E9</f>
        <v>13881</v>
      </c>
      <c r="F16" s="157">
        <f>T17ap!F9</f>
        <v>42205</v>
      </c>
      <c r="G16" s="157">
        <f>T17ap!G9</f>
        <v>50850</v>
      </c>
      <c r="H16" s="157">
        <f>T17ap!H9</f>
        <v>127948</v>
      </c>
      <c r="I16" s="224"/>
    </row>
    <row r="17" spans="1:11" ht="15.75" thickBot="1" x14ac:dyDescent="0.3">
      <c r="A17" s="878" t="str">
        <f>T17ap!A10</f>
        <v>2018-19</v>
      </c>
      <c r="B17" s="858">
        <f>T17ap!B10</f>
        <v>7262</v>
      </c>
      <c r="C17" s="858">
        <f>T17ap!C10</f>
        <v>7985</v>
      </c>
      <c r="D17" s="858">
        <f>T17ap!D10</f>
        <v>5512</v>
      </c>
      <c r="E17" s="858">
        <f>T17ap!E10</f>
        <v>13940</v>
      </c>
      <c r="F17" s="858">
        <f>T17ap!F10</f>
        <v>41138</v>
      </c>
      <c r="G17" s="858">
        <f>T17ap!G10</f>
        <v>48731</v>
      </c>
      <c r="H17" s="858">
        <f>T17ap!H10</f>
        <v>124568</v>
      </c>
      <c r="I17" s="224"/>
    </row>
    <row r="18" spans="1:11" x14ac:dyDescent="0.25">
      <c r="A18" s="224"/>
      <c r="B18" s="224"/>
      <c r="C18" s="224"/>
      <c r="D18" s="224"/>
      <c r="E18" s="224"/>
      <c r="F18" s="224"/>
      <c r="G18" s="224"/>
      <c r="H18" s="224"/>
      <c r="I18" s="224"/>
    </row>
    <row r="19" spans="1:11" x14ac:dyDescent="0.25">
      <c r="A19" s="224" t="s">
        <v>8</v>
      </c>
      <c r="B19" s="224"/>
      <c r="C19" s="224"/>
      <c r="D19" s="224"/>
      <c r="E19" s="224"/>
      <c r="F19" s="224"/>
      <c r="G19" s="224"/>
      <c r="H19" s="224"/>
      <c r="I19" s="224"/>
    </row>
    <row r="20" spans="1:11" ht="47.25" customHeight="1" x14ac:dyDescent="0.25">
      <c r="A20" s="999" t="s">
        <v>863</v>
      </c>
      <c r="B20" s="999"/>
      <c r="C20" s="999"/>
      <c r="D20" s="999"/>
      <c r="E20" s="999"/>
      <c r="F20" s="999"/>
      <c r="G20" s="999"/>
      <c r="H20" s="999"/>
    </row>
    <row r="21" spans="1:11" x14ac:dyDescent="0.25">
      <c r="H21" s="549"/>
    </row>
    <row r="22" spans="1:11" x14ac:dyDescent="0.25">
      <c r="H22" s="549"/>
    </row>
    <row r="23" spans="1:11" ht="15.75" customHeight="1" x14ac:dyDescent="0.25">
      <c r="A23" s="876" t="s">
        <v>693</v>
      </c>
      <c r="B23" s="876"/>
      <c r="C23" s="876"/>
      <c r="D23" s="876"/>
      <c r="E23" s="876"/>
      <c r="F23" s="876"/>
      <c r="G23" s="876"/>
      <c r="H23" s="876"/>
      <c r="I23" s="876"/>
      <c r="J23" s="876"/>
      <c r="K23" s="876"/>
    </row>
    <row r="24" spans="1:11" ht="15.75" x14ac:dyDescent="0.25">
      <c r="A24" t="s">
        <v>530</v>
      </c>
      <c r="B24" s="802"/>
      <c r="C24" s="802"/>
      <c r="D24" s="802"/>
      <c r="E24" s="802"/>
      <c r="F24" s="802"/>
      <c r="G24" s="802"/>
      <c r="H24" s="802"/>
      <c r="I24" s="802"/>
      <c r="J24" s="802"/>
      <c r="K24" s="802"/>
    </row>
    <row r="25" spans="1:11" ht="15.75" x14ac:dyDescent="0.25">
      <c r="A25" t="s">
        <v>368</v>
      </c>
      <c r="B25" t="s">
        <v>807</v>
      </c>
      <c r="C25" s="802"/>
      <c r="D25" s="802"/>
      <c r="E25" s="802"/>
      <c r="F25" s="802"/>
      <c r="G25" s="802"/>
      <c r="H25" s="802"/>
      <c r="I25" s="802"/>
      <c r="J25" s="802"/>
      <c r="K25" s="802"/>
    </row>
    <row r="26" spans="1:11" ht="15.75" x14ac:dyDescent="0.25">
      <c r="A26" t="s">
        <v>369</v>
      </c>
      <c r="B26" t="s">
        <v>371</v>
      </c>
      <c r="C26" s="802"/>
      <c r="D26" s="802"/>
      <c r="E26" s="802"/>
      <c r="F26" s="802"/>
      <c r="G26" s="802"/>
      <c r="H26" s="802"/>
      <c r="I26" s="802"/>
      <c r="J26" s="802"/>
      <c r="K26" s="802"/>
    </row>
    <row r="27" spans="1:11" ht="15.75" x14ac:dyDescent="0.25">
      <c r="A27" t="s">
        <v>370</v>
      </c>
      <c r="B27" t="s">
        <v>627</v>
      </c>
      <c r="C27" s="802"/>
      <c r="D27" s="802"/>
      <c r="E27" s="802"/>
      <c r="F27" s="802"/>
      <c r="G27" s="802"/>
      <c r="H27" s="802"/>
      <c r="I27" s="802"/>
      <c r="J27" s="802"/>
      <c r="K27" s="802"/>
    </row>
    <row r="28" spans="1:11" ht="15.75" x14ac:dyDescent="0.25">
      <c r="C28" s="802"/>
      <c r="D28" s="802"/>
      <c r="E28" s="802"/>
      <c r="F28" s="802"/>
      <c r="G28" s="802"/>
      <c r="H28" s="802"/>
      <c r="I28" s="802"/>
      <c r="J28" s="802"/>
      <c r="K28" s="802"/>
    </row>
    <row r="29" spans="1:11" ht="15.75" x14ac:dyDescent="0.25">
      <c r="C29" s="877" t="s">
        <v>636</v>
      </c>
      <c r="D29" s="802"/>
      <c r="E29" s="802"/>
      <c r="F29" s="802"/>
      <c r="G29" s="802"/>
      <c r="H29" s="802"/>
      <c r="I29" s="802"/>
      <c r="J29" s="802"/>
      <c r="K29" s="802"/>
    </row>
    <row r="30" spans="1:11" x14ac:dyDescent="0.25">
      <c r="A30" s="879" t="s">
        <v>1</v>
      </c>
      <c r="B30" s="880" t="s">
        <v>400</v>
      </c>
      <c r="C30" s="880" t="s">
        <v>401</v>
      </c>
      <c r="D30" s="880" t="s">
        <v>402</v>
      </c>
      <c r="E30" s="880" t="s">
        <v>403</v>
      </c>
      <c r="F30" s="880" t="s">
        <v>404</v>
      </c>
      <c r="G30" s="880" t="s">
        <v>405</v>
      </c>
      <c r="H30" s="880" t="s">
        <v>406</v>
      </c>
    </row>
    <row r="31" spans="1:11" x14ac:dyDescent="0.25">
      <c r="A31" t="str">
        <f>T17ap!A5</f>
        <v>2013-14</v>
      </c>
      <c r="B31" s="625">
        <f>T17ap!I5/100</f>
        <v>3.2383018810174025E-2</v>
      </c>
      <c r="C31" s="625">
        <f>T17ap!J5/100</f>
        <v>2.4969830604430799E-2</v>
      </c>
      <c r="D31" s="625">
        <f>T17ap!K5/100</f>
        <v>1.7888109120957136E-2</v>
      </c>
      <c r="E31" s="625">
        <f>T17ap!L5/100</f>
        <v>2.1806181741239283E-2</v>
      </c>
      <c r="F31" s="625">
        <f>T17ap!M5/100</f>
        <v>2.1172132193088819E-2</v>
      </c>
      <c r="G31" s="625">
        <f>T17ap!N5/100</f>
        <v>3.6217394384686873E-2</v>
      </c>
      <c r="H31" s="625">
        <f>T17ap!O5/100</f>
        <v>2.5323310246447808E-2</v>
      </c>
    </row>
    <row r="32" spans="1:11" x14ac:dyDescent="0.25">
      <c r="A32" t="str">
        <f>T17ap!A6</f>
        <v>2014-15</v>
      </c>
      <c r="B32" s="625">
        <f>T17ap!I6/100</f>
        <v>3.1868346484751092E-2</v>
      </c>
      <c r="C32" s="625">
        <f>T17ap!J6/100</f>
        <v>2.3587378131879652E-2</v>
      </c>
      <c r="D32" s="625">
        <f>T17ap!K6/100</f>
        <v>1.6718611261747125E-2</v>
      </c>
      <c r="E32" s="625">
        <f>T17ap!L6/100</f>
        <v>1.7886003663398341E-2</v>
      </c>
      <c r="F32" s="625">
        <f>T17ap!M6/100</f>
        <v>1.920827339900005E-2</v>
      </c>
      <c r="G32" s="625">
        <f>T17ap!N6/100</f>
        <v>3.5314085274217574E-2</v>
      </c>
      <c r="H32" s="625">
        <f>T17ap!O6/100</f>
        <v>2.3452389857132171E-2</v>
      </c>
    </row>
    <row r="33" spans="1:8" x14ac:dyDescent="0.25">
      <c r="A33" t="str">
        <f>T17ap!A7</f>
        <v>2015-16</v>
      </c>
      <c r="B33" s="625">
        <f>T17ap!I7/100</f>
        <v>3.1836633765377403E-2</v>
      </c>
      <c r="C33" s="625">
        <f>T17ap!J7/100</f>
        <v>2.4072968224256135E-2</v>
      </c>
      <c r="D33" s="625">
        <f>T17ap!K7/100</f>
        <v>1.743119819504603E-2</v>
      </c>
      <c r="E33" s="625">
        <f>T17ap!L7/100</f>
        <v>1.7731512977404357E-2</v>
      </c>
      <c r="F33" s="625">
        <f>T17ap!M7/100</f>
        <v>2.0208270172440722E-2</v>
      </c>
      <c r="G33" s="625">
        <f>T17ap!N7/100</f>
        <v>4.0293256937670344E-2</v>
      </c>
      <c r="H33" s="625">
        <f>T17ap!O7/100</f>
        <v>2.5074818537130096E-2</v>
      </c>
    </row>
    <row r="34" spans="1:8" x14ac:dyDescent="0.25">
      <c r="A34" t="str">
        <f>T17ap!A8</f>
        <v>2016-17</v>
      </c>
      <c r="B34" s="625">
        <f>T17ap!I8/100</f>
        <v>2.6751335129753025E-2</v>
      </c>
      <c r="C34" s="625">
        <f>T17ap!J8/100</f>
        <v>2.2351868938047123E-2</v>
      </c>
      <c r="D34" s="625">
        <f>T17ap!K8/100</f>
        <v>1.7021869678772051E-2</v>
      </c>
      <c r="E34" s="625">
        <f>T17ap!L8/100</f>
        <v>1.3074100289654273E-2</v>
      </c>
      <c r="F34" s="625">
        <f>T17ap!M8/100</f>
        <v>1.954158734985138E-2</v>
      </c>
      <c r="G34" s="625">
        <f>T17ap!N8/100</f>
        <v>4.173854292450118E-2</v>
      </c>
      <c r="H34" s="625">
        <f>T17ap!O8/100</f>
        <v>2.390641478712972E-2</v>
      </c>
    </row>
    <row r="35" spans="1:8" x14ac:dyDescent="0.25">
      <c r="A35" t="str">
        <f>T17ap!A9</f>
        <v>2017-18</v>
      </c>
      <c r="B35" s="625">
        <f>T17ap!I9/100</f>
        <v>2.7273436226099408E-2</v>
      </c>
      <c r="C35" s="625">
        <f>T17ap!J9/100</f>
        <v>2.2093953467700721E-2</v>
      </c>
      <c r="D35" s="625">
        <f>T17ap!K9/100</f>
        <v>1.6209257770713342E-2</v>
      </c>
      <c r="E35" s="625">
        <f>T17ap!L9/100</f>
        <v>1.3984682435577371E-2</v>
      </c>
      <c r="F35" s="625">
        <f>T17ap!M9/100</f>
        <v>1.9291712357163395E-2</v>
      </c>
      <c r="G35" s="625">
        <f>T17ap!N9/100</f>
        <v>3.9993676516043478E-2</v>
      </c>
      <c r="H35" s="625">
        <f>T17ap!O9/100</f>
        <v>2.3585754313523076E-2</v>
      </c>
    </row>
    <row r="36" spans="1:8" ht="15.75" thickBot="1" x14ac:dyDescent="0.3">
      <c r="A36" s="482" t="str">
        <f>T17ap!A10</f>
        <v>2018-19</v>
      </c>
      <c r="B36" s="857">
        <f>T17ap!I10/100</f>
        <v>2.6229673989207624E-2</v>
      </c>
      <c r="C36" s="857">
        <f>T17ap!J10/100</f>
        <v>2.2078320665142245E-2</v>
      </c>
      <c r="D36" s="857">
        <f>T17ap!K10/100</f>
        <v>1.6481134303902308E-2</v>
      </c>
      <c r="E36" s="857">
        <f>T17ap!L10/100</f>
        <v>1.4145003536250884E-2</v>
      </c>
      <c r="F36" s="857">
        <f>T17ap!M10/100</f>
        <v>1.8792790051853994E-2</v>
      </c>
      <c r="G36" s="857">
        <f>T17ap!N10/100</f>
        <v>3.775869950952665E-2</v>
      </c>
      <c r="H36" s="857">
        <f>T17ap!O10/100</f>
        <v>2.2906529854177009E-2</v>
      </c>
    </row>
    <row r="37" spans="1:8" x14ac:dyDescent="0.25">
      <c r="H37" s="549"/>
    </row>
    <row r="38" spans="1:8" x14ac:dyDescent="0.25">
      <c r="A38" s="438" t="s">
        <v>8</v>
      </c>
      <c r="H38" s="549"/>
    </row>
    <row r="39" spans="1:8" x14ac:dyDescent="0.25">
      <c r="A39" s="999" t="s">
        <v>864</v>
      </c>
      <c r="B39" s="999"/>
      <c r="C39" s="999"/>
      <c r="D39" s="999"/>
      <c r="E39" s="999"/>
      <c r="F39" s="999"/>
      <c r="G39" s="999"/>
      <c r="H39" s="999"/>
    </row>
    <row r="40" spans="1:8" x14ac:dyDescent="0.25">
      <c r="A40" t="s">
        <v>865</v>
      </c>
    </row>
    <row r="41" spans="1:8" x14ac:dyDescent="0.25">
      <c r="A41" s="978" t="s">
        <v>866</v>
      </c>
    </row>
  </sheetData>
  <sheetProtection algorithmName="SHA-512" hashValue="yx5GCrpOlHBEt2iZ2KM0uph4jnXLtnN8LitJjvajXg8vJys0zqId4e5YByRYzFr7CQVLgclJ63FmngS4wrJ7VQ==" saltValue="CkNqLzamp1hh5w2QqlRLdw==" spinCount="100000" sheet="1" objects="1" scenarios="1"/>
  <mergeCells count="2">
    <mergeCell ref="A20:H20"/>
    <mergeCell ref="A39:H39"/>
  </mergeCells>
  <hyperlinks>
    <hyperlink ref="A2" location="'Table of Contents'!A1" display="Back to Table of Contents"/>
    <hyperlink ref="A41" r:id="rId1"/>
  </hyperlinks>
  <pageMargins left="0.7" right="0.7"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7" tint="-0.249977111117893"/>
  </sheetPr>
  <dimension ref="A1:K41"/>
  <sheetViews>
    <sheetView showGridLines="0" workbookViewId="0">
      <pane ySplit="2" topLeftCell="A3" activePane="bottomLeft" state="frozen"/>
      <selection sqref="A1:C1"/>
      <selection pane="bottomLeft" sqref="A1:C1"/>
    </sheetView>
  </sheetViews>
  <sheetFormatPr defaultColWidth="9.28515625" defaultRowHeight="15" x14ac:dyDescent="0.25"/>
  <cols>
    <col min="1" max="1" width="19.140625" customWidth="1"/>
    <col min="2" max="8" width="23.85546875" customWidth="1"/>
  </cols>
  <sheetData>
    <row r="1" spans="1:11" ht="15.75" x14ac:dyDescent="0.25">
      <c r="A1" s="822" t="s">
        <v>626</v>
      </c>
      <c r="B1" s="822"/>
      <c r="C1" s="822"/>
    </row>
    <row r="2" spans="1:11" ht="15.75" x14ac:dyDescent="0.25">
      <c r="A2" s="790" t="s">
        <v>598</v>
      </c>
      <c r="B2" s="798"/>
      <c r="C2" s="798"/>
    </row>
    <row r="3" spans="1:11" x14ac:dyDescent="0.25">
      <c r="A3" s="31"/>
      <c r="B3" s="31"/>
      <c r="C3" s="31"/>
      <c r="D3" s="31"/>
      <c r="E3" s="31"/>
      <c r="F3" s="31"/>
      <c r="G3" s="31"/>
      <c r="H3" s="31"/>
      <c r="I3" s="31"/>
      <c r="J3" s="31"/>
      <c r="K3" s="31"/>
    </row>
    <row r="4" spans="1:11" ht="15.75" x14ac:dyDescent="0.25">
      <c r="A4" s="876" t="s">
        <v>637</v>
      </c>
      <c r="B4" s="876"/>
      <c r="C4" s="876"/>
      <c r="D4" s="876"/>
      <c r="E4" s="876"/>
      <c r="F4" s="876"/>
      <c r="G4" s="876"/>
      <c r="H4" s="876"/>
      <c r="I4" s="876"/>
      <c r="J4" s="876"/>
      <c r="K4" s="876"/>
    </row>
    <row r="5" spans="1:11" ht="15.75" x14ac:dyDescent="0.25">
      <c r="A5" t="s">
        <v>530</v>
      </c>
      <c r="B5" s="802"/>
      <c r="C5" s="802"/>
      <c r="D5" s="802"/>
      <c r="E5" s="802"/>
      <c r="F5" s="802"/>
      <c r="G5" s="802"/>
      <c r="H5" s="802"/>
      <c r="I5" s="802"/>
      <c r="J5" s="802"/>
      <c r="K5" s="802"/>
    </row>
    <row r="6" spans="1:11" ht="15.75" x14ac:dyDescent="0.25">
      <c r="A6" t="s">
        <v>368</v>
      </c>
      <c r="B6" t="s">
        <v>808</v>
      </c>
      <c r="C6" s="802"/>
      <c r="D6" s="802"/>
      <c r="E6" s="802"/>
      <c r="F6" s="802"/>
      <c r="G6" s="802"/>
      <c r="H6" s="802"/>
      <c r="I6" s="802"/>
      <c r="J6" s="802"/>
      <c r="K6" s="802"/>
    </row>
    <row r="7" spans="1:11" ht="15.75" x14ac:dyDescent="0.25">
      <c r="A7" t="s">
        <v>369</v>
      </c>
      <c r="B7" t="s">
        <v>371</v>
      </c>
      <c r="C7" s="802"/>
      <c r="D7" s="802"/>
      <c r="E7" s="802"/>
      <c r="F7" s="802"/>
      <c r="G7" s="802"/>
      <c r="H7" s="802"/>
      <c r="I7" s="802"/>
      <c r="J7" s="802"/>
      <c r="K7" s="802"/>
    </row>
    <row r="8" spans="1:11" ht="15.75" x14ac:dyDescent="0.25">
      <c r="A8" t="s">
        <v>370</v>
      </c>
      <c r="B8" t="s">
        <v>870</v>
      </c>
      <c r="C8" s="802"/>
      <c r="D8" s="802"/>
      <c r="E8" s="802"/>
      <c r="F8" s="802"/>
      <c r="G8" s="802"/>
      <c r="H8" s="802"/>
      <c r="I8" s="802"/>
      <c r="J8" s="802"/>
      <c r="K8" s="802"/>
    </row>
    <row r="10" spans="1:11" x14ac:dyDescent="0.25">
      <c r="D10" s="882" t="s">
        <v>638</v>
      </c>
    </row>
    <row r="11" spans="1:11" s="438" customFormat="1" x14ac:dyDescent="0.25">
      <c r="A11" s="880" t="s">
        <v>1</v>
      </c>
      <c r="B11" s="880" t="s">
        <v>416</v>
      </c>
      <c r="C11" s="880">
        <v>2</v>
      </c>
      <c r="D11" s="880">
        <v>3</v>
      </c>
      <c r="E11" s="880">
        <v>4</v>
      </c>
      <c r="F11" s="880" t="s">
        <v>417</v>
      </c>
      <c r="G11" s="880" t="s">
        <v>477</v>
      </c>
    </row>
    <row r="12" spans="1:11" x14ac:dyDescent="0.25">
      <c r="A12" t="str">
        <f>T19dz!A10</f>
        <v>2014-15</v>
      </c>
      <c r="B12" s="157">
        <f>T19dz!C10</f>
        <v>17636</v>
      </c>
      <c r="C12" s="157">
        <f>T19dz!D10</f>
        <v>15970</v>
      </c>
      <c r="D12" s="157">
        <f>T19dz!E10</f>
        <v>12847</v>
      </c>
      <c r="E12" s="157">
        <f>T19dz!F10</f>
        <v>10341</v>
      </c>
      <c r="F12" s="157">
        <f>T19dz!G10</f>
        <v>8730</v>
      </c>
      <c r="G12" s="157">
        <f>T19dz!H10</f>
        <v>65524</v>
      </c>
    </row>
    <row r="13" spans="1:11" x14ac:dyDescent="0.25">
      <c r="A13" t="str">
        <f>T19dz!A11</f>
        <v>2015-16</v>
      </c>
      <c r="B13" s="157">
        <f>T19dz!C11</f>
        <v>18271</v>
      </c>
      <c r="C13" s="157">
        <f>T19dz!D11</f>
        <v>17495</v>
      </c>
      <c r="D13" s="157">
        <f>T19dz!E11</f>
        <v>14440</v>
      </c>
      <c r="E13" s="157">
        <f>T19dz!F11</f>
        <v>11931</v>
      </c>
      <c r="F13" s="157">
        <f>T19dz!G11</f>
        <v>9399</v>
      </c>
      <c r="G13" s="157">
        <f>T19dz!H11</f>
        <v>71536</v>
      </c>
    </row>
    <row r="14" spans="1:11" x14ac:dyDescent="0.25">
      <c r="A14" t="str">
        <f>T19dz!A12</f>
        <v>2016-17</v>
      </c>
      <c r="B14" s="157">
        <f>T19dz!C12</f>
        <v>17329</v>
      </c>
      <c r="C14" s="157">
        <f>T19dz!D12</f>
        <v>16818</v>
      </c>
      <c r="D14" s="157">
        <f>T19dz!E12</f>
        <v>14438</v>
      </c>
      <c r="E14" s="157">
        <f>T19dz!F12</f>
        <v>12284</v>
      </c>
      <c r="F14" s="157">
        <f>T19dz!G12</f>
        <v>9816</v>
      </c>
      <c r="G14" s="157">
        <f>T19dz!H12</f>
        <v>70685</v>
      </c>
    </row>
    <row r="15" spans="1:11" x14ac:dyDescent="0.25">
      <c r="A15" t="str">
        <f>T19dz!A13</f>
        <v>2017-18</v>
      </c>
      <c r="B15" s="157">
        <f>T19dz!C13</f>
        <v>18229</v>
      </c>
      <c r="C15" s="157">
        <f>T19dz!D13</f>
        <v>16148</v>
      </c>
      <c r="D15" s="157">
        <f>T19dz!E13</f>
        <v>14017</v>
      </c>
      <c r="E15" s="157">
        <f>T19dz!F13</f>
        <v>11942</v>
      </c>
      <c r="F15" s="157">
        <f>T19dz!G13</f>
        <v>9447</v>
      </c>
      <c r="G15" s="157">
        <f>T19dz!H13</f>
        <v>69783</v>
      </c>
    </row>
    <row r="16" spans="1:11" ht="15.75" thickBot="1" x14ac:dyDescent="0.3">
      <c r="A16" s="482" t="str">
        <f>T19dz!A14</f>
        <v>2018-19</v>
      </c>
      <c r="B16" s="858">
        <f>T19dz!C14</f>
        <v>19114</v>
      </c>
      <c r="C16" s="858">
        <f>T19dz!D14</f>
        <v>16437</v>
      </c>
      <c r="D16" s="858">
        <f>T19dz!E14</f>
        <v>13566</v>
      </c>
      <c r="E16" s="858">
        <f>T19dz!F14</f>
        <v>10945</v>
      </c>
      <c r="F16" s="858">
        <f>T19dz!G14</f>
        <v>9080</v>
      </c>
      <c r="G16" s="858">
        <f>T19dz!H14</f>
        <v>69142</v>
      </c>
    </row>
    <row r="18" spans="1:11" x14ac:dyDescent="0.25">
      <c r="A18" s="438" t="s">
        <v>8</v>
      </c>
    </row>
    <row r="19" spans="1:11" x14ac:dyDescent="0.25">
      <c r="A19" s="485" t="s">
        <v>868</v>
      </c>
    </row>
    <row r="20" spans="1:11" x14ac:dyDescent="0.25">
      <c r="A20" s="978" t="s">
        <v>867</v>
      </c>
    </row>
    <row r="21" spans="1:11" x14ac:dyDescent="0.25">
      <c r="A21" s="979" t="s">
        <v>869</v>
      </c>
    </row>
    <row r="22" spans="1:11" x14ac:dyDescent="0.25">
      <c r="A22" s="979"/>
    </row>
    <row r="23" spans="1:11" ht="15.75" customHeight="1" x14ac:dyDescent="0.25">
      <c r="A23" s="876" t="s">
        <v>695</v>
      </c>
      <c r="B23" s="876"/>
      <c r="C23" s="876"/>
      <c r="D23" s="876"/>
      <c r="E23" s="876"/>
      <c r="F23" s="876"/>
      <c r="G23" s="876"/>
      <c r="H23" s="876"/>
      <c r="I23" s="876"/>
      <c r="J23" s="876"/>
      <c r="K23" s="876"/>
    </row>
    <row r="24" spans="1:11" ht="15.75" x14ac:dyDescent="0.25">
      <c r="A24" t="s">
        <v>530</v>
      </c>
      <c r="B24" s="802"/>
      <c r="C24" s="802"/>
      <c r="D24" s="802"/>
      <c r="E24" s="802"/>
      <c r="F24" s="802"/>
      <c r="G24" s="802"/>
      <c r="H24" s="802"/>
      <c r="I24" s="802"/>
      <c r="J24" s="802"/>
      <c r="K24" s="802"/>
    </row>
    <row r="25" spans="1:11" ht="15.75" x14ac:dyDescent="0.25">
      <c r="A25" t="s">
        <v>368</v>
      </c>
      <c r="B25" t="s">
        <v>809</v>
      </c>
      <c r="C25" s="802"/>
      <c r="D25" s="802"/>
      <c r="E25" s="802"/>
      <c r="F25" s="802"/>
      <c r="G25" s="802"/>
      <c r="H25" s="802"/>
      <c r="I25" s="802"/>
      <c r="J25" s="802"/>
      <c r="K25" s="802"/>
    </row>
    <row r="26" spans="1:11" ht="15.75" x14ac:dyDescent="0.25">
      <c r="A26" t="s">
        <v>369</v>
      </c>
      <c r="B26" t="s">
        <v>371</v>
      </c>
      <c r="C26" s="802"/>
      <c r="D26" s="802"/>
      <c r="E26" s="802"/>
      <c r="F26" s="802"/>
      <c r="G26" s="802"/>
      <c r="H26" s="802"/>
      <c r="I26" s="802"/>
      <c r="J26" s="802"/>
      <c r="K26" s="802"/>
    </row>
    <row r="27" spans="1:11" ht="15.75" x14ac:dyDescent="0.25">
      <c r="A27" t="s">
        <v>370</v>
      </c>
      <c r="B27" t="s">
        <v>870</v>
      </c>
      <c r="C27" s="802"/>
      <c r="D27" s="802"/>
      <c r="E27" s="802"/>
      <c r="F27" s="802"/>
      <c r="G27" s="802"/>
      <c r="H27" s="802"/>
      <c r="I27" s="802"/>
      <c r="J27" s="802"/>
      <c r="K27" s="802"/>
    </row>
    <row r="29" spans="1:11" x14ac:dyDescent="0.25">
      <c r="A29" s="438"/>
      <c r="C29" s="881"/>
      <c r="D29" s="883" t="s">
        <v>639</v>
      </c>
      <c r="E29" s="881"/>
      <c r="F29" s="881"/>
      <c r="G29" s="881"/>
    </row>
    <row r="30" spans="1:11" x14ac:dyDescent="0.25">
      <c r="A30" s="880" t="s">
        <v>1</v>
      </c>
      <c r="B30" s="880" t="s">
        <v>416</v>
      </c>
      <c r="C30" s="880">
        <v>2</v>
      </c>
      <c r="D30" s="880">
        <v>3</v>
      </c>
      <c r="E30" s="880">
        <v>4</v>
      </c>
      <c r="F30" s="880" t="s">
        <v>417</v>
      </c>
      <c r="G30" s="880" t="s">
        <v>477</v>
      </c>
    </row>
    <row r="31" spans="1:11" x14ac:dyDescent="0.25">
      <c r="A31" t="str">
        <f>T19dz!A5</f>
        <v>2014-15</v>
      </c>
      <c r="B31" s="625">
        <f>T19dz!C5/100</f>
        <v>3.3700000000000001E-2</v>
      </c>
      <c r="C31" s="625">
        <f>T19dz!D5/100</f>
        <v>3.1800000000000002E-2</v>
      </c>
      <c r="D31" s="625">
        <f>T19dz!E5/100</f>
        <v>2.6099999999999998E-2</v>
      </c>
      <c r="E31" s="625">
        <f>T19dz!F5/100</f>
        <v>2.2000000000000002E-2</v>
      </c>
      <c r="F31" s="625">
        <f>T19dz!G5/100</f>
        <v>1.95E-2</v>
      </c>
      <c r="G31" s="625">
        <f>T19dz!H5/100</f>
        <v>2.69E-2</v>
      </c>
    </row>
    <row r="32" spans="1:11" x14ac:dyDescent="0.25">
      <c r="A32" t="str">
        <f>T19dz!A6</f>
        <v>2015-16</v>
      </c>
      <c r="B32" s="625">
        <f>T19dz!C6/100</f>
        <v>3.4700000000000002E-2</v>
      </c>
      <c r="C32" s="625">
        <f>T19dz!D6/100</f>
        <v>3.4700000000000002E-2</v>
      </c>
      <c r="D32" s="625">
        <f>T19dz!E6/100</f>
        <v>2.92E-2</v>
      </c>
      <c r="E32" s="625">
        <f>T19dz!F6/100</f>
        <v>2.52E-2</v>
      </c>
      <c r="F32" s="625">
        <f>T19dz!G6/100</f>
        <v>2.0799999999999999E-2</v>
      </c>
      <c r="G32" s="625">
        <f>T19dz!H6/100</f>
        <v>2.92E-2</v>
      </c>
    </row>
    <row r="33" spans="1:7" x14ac:dyDescent="0.25">
      <c r="A33" t="str">
        <f>T19dz!A7</f>
        <v>2016-17</v>
      </c>
      <c r="B33" s="625">
        <f>T19dz!C7/100</f>
        <v>3.2799999999999996E-2</v>
      </c>
      <c r="C33" s="625">
        <f>T19dz!D7/100</f>
        <v>3.3099999999999997E-2</v>
      </c>
      <c r="D33" s="625">
        <f>T19dz!E7/100</f>
        <v>2.8999999999999998E-2</v>
      </c>
      <c r="E33" s="625">
        <f>T19dz!F7/100</f>
        <v>2.5600000000000001E-2</v>
      </c>
      <c r="F33" s="625">
        <f>T19dz!G7/100</f>
        <v>2.1499999999999998E-2</v>
      </c>
      <c r="G33" s="625">
        <f>T19dz!H7/100</f>
        <v>2.86E-2</v>
      </c>
    </row>
    <row r="34" spans="1:7" x14ac:dyDescent="0.25">
      <c r="A34" t="str">
        <f>T19dz!A8</f>
        <v>2017-18</v>
      </c>
      <c r="B34" s="625">
        <f>T19dz!C8/100</f>
        <v>3.4300000000000004E-2</v>
      </c>
      <c r="C34" s="625">
        <f>T19dz!D8/100</f>
        <v>3.1600000000000003E-2</v>
      </c>
      <c r="D34" s="625">
        <f>T19dz!E8/100</f>
        <v>2.7900000000000001E-2</v>
      </c>
      <c r="E34" s="625">
        <f>T19dz!F8/100</f>
        <v>2.46E-2</v>
      </c>
      <c r="F34" s="625">
        <f>T19dz!G8/100</f>
        <v>2.06E-2</v>
      </c>
      <c r="G34" s="625">
        <f>T19dz!H8/100</f>
        <v>2.7999999999999997E-2</v>
      </c>
    </row>
    <row r="35" spans="1:7" ht="15.75" thickBot="1" x14ac:dyDescent="0.3">
      <c r="A35" s="482" t="str">
        <f>T19dz!A9</f>
        <v>2018-19</v>
      </c>
      <c r="B35" s="857">
        <f>T19dz!C9/100</f>
        <v>3.5799999999999998E-2</v>
      </c>
      <c r="C35" s="857">
        <f>T19dz!D9/100</f>
        <v>3.2099999999999997E-2</v>
      </c>
      <c r="D35" s="857">
        <f>T19dz!E9/100</f>
        <v>2.6800000000000001E-2</v>
      </c>
      <c r="E35" s="857">
        <f>T19dz!F9/100</f>
        <v>2.23E-2</v>
      </c>
      <c r="F35" s="857">
        <f>T19dz!G9/100</f>
        <v>1.9599999999999999E-2</v>
      </c>
      <c r="G35" s="857">
        <f>T19dz!H9/100</f>
        <v>2.76E-2</v>
      </c>
    </row>
    <row r="37" spans="1:7" x14ac:dyDescent="0.25">
      <c r="A37" s="438" t="s">
        <v>8</v>
      </c>
    </row>
    <row r="38" spans="1:7" x14ac:dyDescent="0.25">
      <c r="A38" s="485" t="s">
        <v>872</v>
      </c>
    </row>
    <row r="39" spans="1:7" ht="15.75" customHeight="1" x14ac:dyDescent="0.25">
      <c r="A39" s="978" t="s">
        <v>867</v>
      </c>
    </row>
    <row r="40" spans="1:7" x14ac:dyDescent="0.25">
      <c r="A40" s="790" t="s">
        <v>873</v>
      </c>
    </row>
    <row r="41" spans="1:7" x14ac:dyDescent="0.25">
      <c r="A41" s="979" t="s">
        <v>869</v>
      </c>
    </row>
  </sheetData>
  <sheetProtection algorithmName="SHA-512" hashValue="9Bp1gojeOoWVaBb63y9blHULKK9AQ14lile6AjKKMyBF5Nvv9jpPqScNtmLYSZahSgx2HNicZOFsysV8XVU3sQ==" saltValue="JgkVkypzZg+hFg0HPrqCTA==" spinCount="100000" sheet="1" objects="1" scenarios="1"/>
  <hyperlinks>
    <hyperlink ref="A2" location="'Table of Contents'!A1" display="Back to Table of Contents"/>
    <hyperlink ref="A20" r:id="rId1"/>
    <hyperlink ref="A39" r:id="rId2"/>
    <hyperlink ref="A40" r:id="rId3"/>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7" tint="-0.249977111117893"/>
  </sheetPr>
  <dimension ref="A1:K40"/>
  <sheetViews>
    <sheetView showGridLines="0" workbookViewId="0">
      <pane ySplit="2" topLeftCell="A3" activePane="bottomLeft" state="frozen"/>
      <selection sqref="A1:C1"/>
      <selection pane="bottomLeft" sqref="A1:C1"/>
    </sheetView>
  </sheetViews>
  <sheetFormatPr defaultRowHeight="15" x14ac:dyDescent="0.25"/>
  <cols>
    <col min="1" max="1" width="19.7109375" customWidth="1"/>
    <col min="2" max="8" width="25.28515625" customWidth="1"/>
  </cols>
  <sheetData>
    <row r="1" spans="1:11" ht="15.75" x14ac:dyDescent="0.25">
      <c r="A1" s="822" t="s">
        <v>626</v>
      </c>
    </row>
    <row r="2" spans="1:11" x14ac:dyDescent="0.25">
      <c r="A2" s="790" t="s">
        <v>598</v>
      </c>
    </row>
    <row r="3" spans="1:11" x14ac:dyDescent="0.25">
      <c r="A3" s="31"/>
    </row>
    <row r="4" spans="1:11" ht="15.75" customHeight="1" x14ac:dyDescent="0.25">
      <c r="A4" s="876" t="s">
        <v>641</v>
      </c>
      <c r="B4" s="876"/>
      <c r="C4" s="876"/>
      <c r="D4" s="876"/>
      <c r="E4" s="876"/>
      <c r="F4" s="876"/>
      <c r="G4" s="876"/>
      <c r="H4" s="876"/>
      <c r="I4" s="876"/>
      <c r="J4" s="876"/>
      <c r="K4" s="876"/>
    </row>
    <row r="5" spans="1:11" ht="15.75" x14ac:dyDescent="0.25">
      <c r="A5" t="s">
        <v>530</v>
      </c>
      <c r="B5" s="802"/>
      <c r="C5" s="802"/>
      <c r="D5" s="802"/>
      <c r="E5" s="802"/>
      <c r="F5" s="802"/>
      <c r="G5" s="802"/>
      <c r="H5" s="802"/>
      <c r="I5" s="802"/>
      <c r="J5" s="802"/>
      <c r="K5" s="802"/>
    </row>
    <row r="6" spans="1:11" ht="15.75" x14ac:dyDescent="0.25">
      <c r="A6" t="s">
        <v>368</v>
      </c>
      <c r="B6" t="s">
        <v>810</v>
      </c>
      <c r="C6" s="802"/>
      <c r="D6" s="802"/>
      <c r="E6" s="802"/>
      <c r="F6" s="802"/>
      <c r="G6" s="802"/>
      <c r="H6" s="802"/>
      <c r="I6" s="802"/>
      <c r="J6" s="802"/>
      <c r="K6" s="802"/>
    </row>
    <row r="7" spans="1:11" ht="15.75" x14ac:dyDescent="0.25">
      <c r="A7" t="s">
        <v>369</v>
      </c>
      <c r="B7" t="s">
        <v>371</v>
      </c>
      <c r="C7" s="802"/>
      <c r="D7" s="802"/>
      <c r="E7" s="802"/>
      <c r="F7" s="802"/>
      <c r="G7" s="802"/>
      <c r="H7" s="802"/>
      <c r="I7" s="802"/>
      <c r="J7" s="802"/>
      <c r="K7" s="802"/>
    </row>
    <row r="8" spans="1:11" ht="15.75" x14ac:dyDescent="0.25">
      <c r="A8" t="s">
        <v>370</v>
      </c>
      <c r="B8" t="s">
        <v>870</v>
      </c>
      <c r="C8" s="802"/>
      <c r="D8" s="802"/>
      <c r="E8" s="802"/>
      <c r="F8" s="802"/>
      <c r="G8" s="802"/>
      <c r="H8" s="802"/>
      <c r="I8" s="802"/>
      <c r="J8" s="802"/>
      <c r="K8" s="802"/>
    </row>
    <row r="9" spans="1:11" x14ac:dyDescent="0.25">
      <c r="D9" s="882" t="s">
        <v>640</v>
      </c>
    </row>
    <row r="10" spans="1:11" x14ac:dyDescent="0.25">
      <c r="A10" s="880" t="s">
        <v>1</v>
      </c>
      <c r="B10" s="880" t="s">
        <v>418</v>
      </c>
      <c r="C10" s="880" t="s">
        <v>419</v>
      </c>
      <c r="D10" s="880" t="s">
        <v>420</v>
      </c>
      <c r="E10" s="880" t="s">
        <v>421</v>
      </c>
      <c r="F10" s="880" t="s">
        <v>422</v>
      </c>
      <c r="G10" s="880" t="s">
        <v>423</v>
      </c>
      <c r="H10" s="880" t="s">
        <v>477</v>
      </c>
      <c r="I10" s="881"/>
    </row>
    <row r="11" spans="1:11" x14ac:dyDescent="0.25">
      <c r="A11" t="str">
        <f>T19dz!A36</f>
        <v>2014-15</v>
      </c>
      <c r="B11" s="157">
        <f>T19dz!C36</f>
        <v>22785</v>
      </c>
      <c r="C11" s="157">
        <f>T19dz!D36</f>
        <v>26340</v>
      </c>
      <c r="D11" s="157">
        <f>T19dz!E36</f>
        <v>5122</v>
      </c>
      <c r="E11" s="157">
        <f>T19dz!F36</f>
        <v>2284</v>
      </c>
      <c r="F11" s="157">
        <f>T19dz!G36</f>
        <v>5466</v>
      </c>
      <c r="G11" s="157">
        <f>T19dz!H36</f>
        <v>3527</v>
      </c>
      <c r="H11" s="157">
        <f>T19dz!I36</f>
        <v>65524</v>
      </c>
    </row>
    <row r="12" spans="1:11" x14ac:dyDescent="0.25">
      <c r="A12" t="str">
        <f>T19dz!A37</f>
        <v>2015-16</v>
      </c>
      <c r="B12" s="157">
        <f>T19dz!C37</f>
        <v>24002</v>
      </c>
      <c r="C12" s="157">
        <f>T19dz!D37</f>
        <v>29970</v>
      </c>
      <c r="D12" s="157">
        <f>T19dz!E37</f>
        <v>5431</v>
      </c>
      <c r="E12" s="157">
        <f>T19dz!F37</f>
        <v>2462</v>
      </c>
      <c r="F12" s="157">
        <f>T19dz!G37</f>
        <v>5692</v>
      </c>
      <c r="G12" s="157">
        <f>T19dz!H37</f>
        <v>3979</v>
      </c>
      <c r="H12" s="157">
        <f>T19dz!I37</f>
        <v>71536</v>
      </c>
    </row>
    <row r="13" spans="1:11" x14ac:dyDescent="0.25">
      <c r="A13" t="str">
        <f>T19dz!A38</f>
        <v>2016-17</v>
      </c>
      <c r="B13" s="157">
        <f>T19dz!C38</f>
        <v>22366</v>
      </c>
      <c r="C13" s="157">
        <f>T19dz!D38</f>
        <v>29315</v>
      </c>
      <c r="D13" s="157">
        <f>T19dz!E38</f>
        <v>5377</v>
      </c>
      <c r="E13" s="157">
        <f>T19dz!F38</f>
        <v>2998</v>
      </c>
      <c r="F13" s="157">
        <f>T19dz!G38</f>
        <v>6087</v>
      </c>
      <c r="G13" s="157">
        <f>T19dz!H38</f>
        <v>4542</v>
      </c>
      <c r="H13" s="157">
        <f>T19dz!I38</f>
        <v>70685</v>
      </c>
    </row>
    <row r="14" spans="1:11" x14ac:dyDescent="0.25">
      <c r="A14" t="str">
        <f>T19dz!A39</f>
        <v>2017-18</v>
      </c>
      <c r="B14" s="157">
        <f>T19dz!C39</f>
        <v>23388</v>
      </c>
      <c r="C14" s="157">
        <f>T19dz!D39</f>
        <v>27655</v>
      </c>
      <c r="D14" s="157">
        <f>T19dz!E39</f>
        <v>5101</v>
      </c>
      <c r="E14" s="157">
        <f>T19dz!F39</f>
        <v>3088</v>
      </c>
      <c r="F14" s="157">
        <f>T19dz!G39</f>
        <v>5828</v>
      </c>
      <c r="G14" s="157">
        <f>T19dz!H39</f>
        <v>4723</v>
      </c>
      <c r="H14" s="157">
        <f>T19dz!I39</f>
        <v>69783</v>
      </c>
    </row>
    <row r="15" spans="1:11" ht="15.75" thickBot="1" x14ac:dyDescent="0.3">
      <c r="A15" s="482" t="str">
        <f>T19dz!A40</f>
        <v>2018-19</v>
      </c>
      <c r="B15" s="858">
        <f>T19dz!C40</f>
        <v>25599</v>
      </c>
      <c r="C15" s="858">
        <f>T19dz!D40</f>
        <v>26955</v>
      </c>
      <c r="D15" s="858">
        <f>T19dz!E40</f>
        <v>4965</v>
      </c>
      <c r="E15" s="858">
        <f>T19dz!F40</f>
        <v>2685</v>
      </c>
      <c r="F15" s="858">
        <f>T19dz!G40</f>
        <v>5289</v>
      </c>
      <c r="G15" s="858">
        <f>T19dz!H40</f>
        <v>3649</v>
      </c>
      <c r="H15" s="858">
        <f>T19dz!I40</f>
        <v>69142</v>
      </c>
    </row>
    <row r="17" spans="1:11" x14ac:dyDescent="0.25">
      <c r="A17" s="438" t="s">
        <v>8</v>
      </c>
    </row>
    <row r="18" spans="1:11" x14ac:dyDescent="0.25">
      <c r="A18" s="485" t="s">
        <v>871</v>
      </c>
    </row>
    <row r="19" spans="1:11" x14ac:dyDescent="0.25">
      <c r="A19" s="978" t="s">
        <v>874</v>
      </c>
    </row>
    <row r="20" spans="1:11" x14ac:dyDescent="0.25">
      <c r="A20" s="979" t="s">
        <v>869</v>
      </c>
    </row>
    <row r="21" spans="1:11" x14ac:dyDescent="0.25">
      <c r="A21" s="979"/>
    </row>
    <row r="22" spans="1:11" ht="15.75" x14ac:dyDescent="0.25">
      <c r="A22" s="876" t="s">
        <v>697</v>
      </c>
      <c r="B22" s="876"/>
      <c r="C22" s="876"/>
      <c r="D22" s="876"/>
      <c r="E22" s="876"/>
      <c r="F22" s="876"/>
      <c r="G22" s="876"/>
      <c r="H22" s="876"/>
      <c r="I22" s="876"/>
      <c r="J22" s="876"/>
      <c r="K22" s="876"/>
    </row>
    <row r="23" spans="1:11" ht="15.75" x14ac:dyDescent="0.25">
      <c r="A23" t="s">
        <v>530</v>
      </c>
      <c r="B23" s="802"/>
      <c r="C23" s="802"/>
      <c r="D23" s="802"/>
      <c r="E23" s="802"/>
      <c r="F23" s="802"/>
      <c r="G23" s="802"/>
      <c r="H23" s="802"/>
      <c r="I23" s="802"/>
      <c r="J23" s="802"/>
      <c r="K23" s="802"/>
    </row>
    <row r="24" spans="1:11" ht="15.75" x14ac:dyDescent="0.25">
      <c r="A24" t="s">
        <v>368</v>
      </c>
      <c r="B24" t="s">
        <v>811</v>
      </c>
      <c r="C24" s="802"/>
      <c r="D24" s="802"/>
      <c r="E24" s="802"/>
      <c r="F24" s="802"/>
      <c r="G24" s="802"/>
      <c r="H24" s="802"/>
      <c r="I24" s="802"/>
      <c r="J24" s="802"/>
      <c r="K24" s="802"/>
    </row>
    <row r="25" spans="1:11" ht="15.75" x14ac:dyDescent="0.25">
      <c r="A25" t="s">
        <v>369</v>
      </c>
      <c r="B25" t="s">
        <v>371</v>
      </c>
      <c r="C25" s="802"/>
      <c r="D25" s="802"/>
      <c r="E25" s="802"/>
      <c r="F25" s="802"/>
      <c r="G25" s="802"/>
      <c r="H25" s="802"/>
      <c r="I25" s="802"/>
      <c r="J25" s="802"/>
      <c r="K25" s="802"/>
    </row>
    <row r="26" spans="1:11" ht="15.75" x14ac:dyDescent="0.25">
      <c r="A26" t="s">
        <v>370</v>
      </c>
      <c r="B26" t="s">
        <v>870</v>
      </c>
      <c r="C26" s="802"/>
      <c r="D26" s="802"/>
      <c r="E26" s="802"/>
      <c r="F26" s="802"/>
      <c r="G26" s="802"/>
      <c r="H26" s="802"/>
      <c r="I26" s="802"/>
      <c r="J26" s="802"/>
      <c r="K26" s="802"/>
    </row>
    <row r="28" spans="1:11" x14ac:dyDescent="0.25">
      <c r="D28" s="882" t="s">
        <v>642</v>
      </c>
    </row>
    <row r="29" spans="1:11" x14ac:dyDescent="0.25">
      <c r="A29" s="880" t="s">
        <v>1</v>
      </c>
      <c r="B29" s="880" t="s">
        <v>418</v>
      </c>
      <c r="C29" s="880" t="s">
        <v>419</v>
      </c>
      <c r="D29" s="880" t="s">
        <v>420</v>
      </c>
      <c r="E29" s="880" t="s">
        <v>421</v>
      </c>
      <c r="F29" s="880" t="s">
        <v>422</v>
      </c>
      <c r="G29" s="880" t="s">
        <v>423</v>
      </c>
      <c r="H29" s="880" t="s">
        <v>477</v>
      </c>
    </row>
    <row r="30" spans="1:11" x14ac:dyDescent="0.25">
      <c r="A30" t="str">
        <f>T19dz!$A31</f>
        <v>2014-15</v>
      </c>
      <c r="B30" s="625">
        <f>T19dz!C31/100</f>
        <v>2.6200000000000001E-2</v>
      </c>
      <c r="C30" s="625">
        <f>T19dz!D31/100</f>
        <v>0.03</v>
      </c>
      <c r="D30" s="625">
        <f>T19dz!E31/100</f>
        <v>2.52E-2</v>
      </c>
      <c r="E30" s="625">
        <f>T19dz!F31/100</f>
        <v>2.53E-2</v>
      </c>
      <c r="F30" s="625">
        <f>T19dz!G31/100</f>
        <v>2.1899999999999999E-2</v>
      </c>
      <c r="G30" s="625">
        <f>T19dz!H31/100</f>
        <v>2.4399999999999998E-2</v>
      </c>
      <c r="H30" s="625">
        <f>T19dz!I31/100</f>
        <v>2.69E-2</v>
      </c>
    </row>
    <row r="31" spans="1:11" x14ac:dyDescent="0.25">
      <c r="A31" t="str">
        <f>T19dz!$A32</f>
        <v>2015-16</v>
      </c>
      <c r="B31" s="625">
        <f>T19dz!C32/100</f>
        <v>2.7400000000000001E-2</v>
      </c>
      <c r="C31" s="625">
        <f>T19dz!D32/100</f>
        <v>3.39E-2</v>
      </c>
      <c r="D31" s="625">
        <f>T19dz!E32/100</f>
        <v>2.6600000000000002E-2</v>
      </c>
      <c r="E31" s="625">
        <f>T19dz!F32/100</f>
        <v>2.7099999999999999E-2</v>
      </c>
      <c r="F31" s="625">
        <f>T19dz!G32/100</f>
        <v>2.2499999999999999E-2</v>
      </c>
      <c r="G31" s="625">
        <f>T19dz!H32/100</f>
        <v>2.7300000000000001E-2</v>
      </c>
      <c r="H31" s="625">
        <f>T19dz!I32/100</f>
        <v>2.92E-2</v>
      </c>
    </row>
    <row r="32" spans="1:11" x14ac:dyDescent="0.25">
      <c r="A32" t="str">
        <f>T19dz!$A33</f>
        <v>2016-17</v>
      </c>
      <c r="B32" s="625">
        <f>T19dz!C33/100</f>
        <v>2.53E-2</v>
      </c>
      <c r="C32" s="625">
        <f>T19dz!D33/100</f>
        <v>3.3000000000000002E-2</v>
      </c>
      <c r="D32" s="625">
        <f>T19dz!E33/100</f>
        <v>2.6099999999999998E-2</v>
      </c>
      <c r="E32" s="625">
        <f>T19dz!F33/100</f>
        <v>3.3000000000000002E-2</v>
      </c>
      <c r="F32" s="625">
        <f>T19dz!G33/100</f>
        <v>2.3799999999999998E-2</v>
      </c>
      <c r="G32" s="625">
        <f>T19dz!H33/100</f>
        <v>3.1E-2</v>
      </c>
      <c r="H32" s="625">
        <f>T19dz!I33/100</f>
        <v>2.86E-2</v>
      </c>
    </row>
    <row r="33" spans="1:8" x14ac:dyDescent="0.25">
      <c r="A33" t="str">
        <f>T19dz!$A34</f>
        <v>2017-18</v>
      </c>
      <c r="B33" s="625">
        <f>T19dz!C34/100</f>
        <v>2.63E-2</v>
      </c>
      <c r="C33" s="625">
        <f>T19dz!D34/100</f>
        <v>3.0899999999999997E-2</v>
      </c>
      <c r="D33" s="625">
        <f>T19dz!E34/100</f>
        <v>2.46E-2</v>
      </c>
      <c r="E33" s="625">
        <f>T19dz!F34/100</f>
        <v>3.3799999999999997E-2</v>
      </c>
      <c r="F33" s="625">
        <f>T19dz!G34/100</f>
        <v>2.2499999999999999E-2</v>
      </c>
      <c r="G33" s="625">
        <f>T19dz!H34/100</f>
        <v>3.2000000000000001E-2</v>
      </c>
      <c r="H33" s="625">
        <f>T19dz!I34/100</f>
        <v>2.7999999999999997E-2</v>
      </c>
    </row>
    <row r="34" spans="1:8" ht="15.75" thickBot="1" x14ac:dyDescent="0.3">
      <c r="A34" s="482" t="str">
        <f>T19dz!$A35</f>
        <v>2018-19</v>
      </c>
      <c r="B34" s="857">
        <f>T19dz!C35/100</f>
        <v>2.8500000000000001E-2</v>
      </c>
      <c r="C34" s="857">
        <f>T19dz!D35/100</f>
        <v>3.0099999999999998E-2</v>
      </c>
      <c r="D34" s="857">
        <f>T19dz!E35/100</f>
        <v>2.3799999999999998E-2</v>
      </c>
      <c r="E34" s="857">
        <f>T19dz!F35/100</f>
        <v>2.9300000000000003E-2</v>
      </c>
      <c r="F34" s="857">
        <f>T19dz!G35/100</f>
        <v>2.0099999999999996E-2</v>
      </c>
      <c r="G34" s="857">
        <f>T19dz!H35/100</f>
        <v>2.46E-2</v>
      </c>
      <c r="H34" s="857">
        <f>T19dz!I35/100</f>
        <v>2.76E-2</v>
      </c>
    </row>
    <row r="36" spans="1:8" x14ac:dyDescent="0.25">
      <c r="A36" s="438" t="s">
        <v>8</v>
      </c>
    </row>
    <row r="37" spans="1:8" x14ac:dyDescent="0.25">
      <c r="A37" s="485" t="s">
        <v>875</v>
      </c>
    </row>
    <row r="38" spans="1:8" x14ac:dyDescent="0.25">
      <c r="A38" s="978" t="s">
        <v>874</v>
      </c>
    </row>
    <row r="39" spans="1:8" x14ac:dyDescent="0.25">
      <c r="A39" s="790" t="s">
        <v>873</v>
      </c>
    </row>
    <row r="40" spans="1:8" x14ac:dyDescent="0.25">
      <c r="A40" s="979" t="s">
        <v>869</v>
      </c>
    </row>
  </sheetData>
  <sheetProtection algorithmName="SHA-512" hashValue="6JL5vw6bBuCWbmHbDdW+hbXwfWJ5FMTwc5DVnhQRuUkpnwzkZT5LJMJqhIDgClGRpwa4xi5cJjK9W863G8w20g==" saltValue="o4D3o2FuQHBSGXmfK7/BNQ==" spinCount="100000" sheet="1" objects="1" scenarios="1"/>
  <hyperlinks>
    <hyperlink ref="A2" location="'Table of Contents'!A1" display="Back to Table of Contents"/>
    <hyperlink ref="A19" r:id="rId1"/>
    <hyperlink ref="A38" r:id="rId2"/>
    <hyperlink ref="A39" r:id="rId3"/>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249977111117893"/>
    <pageSetUpPr fitToPage="1"/>
  </sheetPr>
  <dimension ref="A1:K46"/>
  <sheetViews>
    <sheetView showGridLines="0" workbookViewId="0">
      <pane ySplit="2" topLeftCell="A3" activePane="bottomLeft" state="frozen"/>
      <selection sqref="A1:C1"/>
      <selection pane="bottomLeft" sqref="A1:C1"/>
    </sheetView>
  </sheetViews>
  <sheetFormatPr defaultRowHeight="15" x14ac:dyDescent="0.25"/>
  <cols>
    <col min="1" max="1" width="18.42578125" customWidth="1"/>
    <col min="2" max="2" width="26.42578125" customWidth="1"/>
    <col min="3" max="3" width="15.5703125" customWidth="1"/>
    <col min="4" max="4" width="11.5703125" customWidth="1"/>
    <col min="5" max="5" width="7.42578125" customWidth="1"/>
    <col min="6" max="6" width="10.140625" customWidth="1"/>
    <col min="7" max="7" width="11" customWidth="1"/>
    <col min="8" max="8" width="13.7109375" customWidth="1"/>
  </cols>
  <sheetData>
    <row r="1" spans="1:11" ht="15.75" x14ac:dyDescent="0.25">
      <c r="A1" s="822" t="s">
        <v>626</v>
      </c>
    </row>
    <row r="2" spans="1:11" x14ac:dyDescent="0.25">
      <c r="A2" s="790" t="s">
        <v>598</v>
      </c>
    </row>
    <row r="3" spans="1:11" x14ac:dyDescent="0.25">
      <c r="A3" s="31"/>
    </row>
    <row r="4" spans="1:11" ht="15.75" customHeight="1" x14ac:dyDescent="0.25">
      <c r="A4" s="666" t="s">
        <v>696</v>
      </c>
      <c r="B4" s="802"/>
      <c r="C4" s="802"/>
      <c r="D4" s="802"/>
      <c r="E4" s="802"/>
      <c r="F4" s="802"/>
      <c r="G4" s="802"/>
      <c r="H4" s="802"/>
      <c r="I4" s="802"/>
      <c r="J4" s="802"/>
      <c r="K4" s="802"/>
    </row>
    <row r="5" spans="1:11" ht="15.75" x14ac:dyDescent="0.25">
      <c r="A5" t="s">
        <v>368</v>
      </c>
      <c r="B5" t="s">
        <v>812</v>
      </c>
      <c r="C5" s="802"/>
      <c r="D5" s="802"/>
      <c r="E5" s="802"/>
      <c r="F5" s="802"/>
      <c r="G5" s="802"/>
      <c r="H5" s="802"/>
      <c r="I5" s="802"/>
      <c r="J5" s="802"/>
      <c r="K5" s="802"/>
    </row>
    <row r="6" spans="1:11" ht="15.75" x14ac:dyDescent="0.25">
      <c r="A6" t="s">
        <v>369</v>
      </c>
      <c r="B6" t="s">
        <v>371</v>
      </c>
      <c r="C6" s="802"/>
      <c r="D6" s="802"/>
      <c r="E6" s="802"/>
      <c r="F6" s="802"/>
      <c r="G6" s="802"/>
      <c r="H6" s="802"/>
      <c r="I6" s="802"/>
      <c r="J6" s="802"/>
      <c r="K6" s="802"/>
    </row>
    <row r="7" spans="1:11" ht="15.75" x14ac:dyDescent="0.25">
      <c r="A7" t="s">
        <v>370</v>
      </c>
      <c r="B7" t="s">
        <v>627</v>
      </c>
      <c r="C7" s="802"/>
      <c r="D7" s="802"/>
      <c r="E7" s="802"/>
      <c r="F7" s="802"/>
      <c r="G7" s="802"/>
      <c r="H7" s="802"/>
      <c r="I7" s="802"/>
      <c r="J7" s="802"/>
      <c r="K7" s="802"/>
    </row>
    <row r="9" spans="1:11" ht="51.75" x14ac:dyDescent="0.25">
      <c r="A9" s="97" t="s">
        <v>534</v>
      </c>
      <c r="B9" s="97" t="s">
        <v>123</v>
      </c>
      <c r="C9" s="303" t="s">
        <v>138</v>
      </c>
      <c r="D9" s="303" t="s">
        <v>139</v>
      </c>
      <c r="E9" s="610" t="s">
        <v>136</v>
      </c>
      <c r="F9" s="303" t="s">
        <v>498</v>
      </c>
      <c r="G9" s="303" t="s">
        <v>499</v>
      </c>
      <c r="H9" s="610" t="s">
        <v>140</v>
      </c>
    </row>
    <row r="10" spans="1:11" ht="19.5" customHeight="1" x14ac:dyDescent="0.25">
      <c r="A10" t="s">
        <v>306</v>
      </c>
      <c r="B10" s="582" t="s">
        <v>31</v>
      </c>
      <c r="C10" s="92">
        <f>'h19'!B4</f>
        <v>569</v>
      </c>
      <c r="D10" s="92">
        <f>'h19'!C4</f>
        <v>2176</v>
      </c>
      <c r="E10" s="611">
        <f>'h19'!D4</f>
        <v>2745</v>
      </c>
      <c r="F10" s="92">
        <f>'h19'!F4</f>
        <v>546</v>
      </c>
      <c r="G10" s="92">
        <f>'h19'!G4</f>
        <v>278</v>
      </c>
      <c r="H10" s="611">
        <f>'h19'!E4</f>
        <v>824</v>
      </c>
    </row>
    <row r="11" spans="1:11" x14ac:dyDescent="0.25">
      <c r="A11" t="s">
        <v>307</v>
      </c>
      <c r="B11" s="65" t="s">
        <v>32</v>
      </c>
      <c r="C11" s="92">
        <f>'h19'!B5</f>
        <v>564</v>
      </c>
      <c r="D11" s="92">
        <f>'h19'!C5</f>
        <v>1206</v>
      </c>
      <c r="E11" s="611">
        <f>'h19'!D5</f>
        <v>1770</v>
      </c>
      <c r="F11" s="92">
        <f>'h19'!F5</f>
        <v>618</v>
      </c>
      <c r="G11" s="92">
        <f>'h19'!G5</f>
        <v>336</v>
      </c>
      <c r="H11" s="611">
        <f>'h19'!E5</f>
        <v>954</v>
      </c>
    </row>
    <row r="12" spans="1:11" x14ac:dyDescent="0.25">
      <c r="A12" t="s">
        <v>313</v>
      </c>
      <c r="B12" s="65" t="s">
        <v>33</v>
      </c>
      <c r="C12" s="92">
        <f>'h19'!B6</f>
        <v>429</v>
      </c>
      <c r="D12" s="92">
        <f>'h19'!C6</f>
        <v>1339</v>
      </c>
      <c r="E12" s="611">
        <f>'h19'!D6</f>
        <v>1768</v>
      </c>
      <c r="F12" s="92">
        <f>'h19'!F6</f>
        <v>450</v>
      </c>
      <c r="G12" s="92">
        <f>'h19'!G6</f>
        <v>177</v>
      </c>
      <c r="H12" s="611">
        <f>'h19'!E6</f>
        <v>627</v>
      </c>
    </row>
    <row r="13" spans="1:11" x14ac:dyDescent="0.25">
      <c r="A13" t="s">
        <v>308</v>
      </c>
      <c r="B13" s="65" t="s">
        <v>34</v>
      </c>
      <c r="C13" s="92">
        <f>'h19'!B7</f>
        <v>531</v>
      </c>
      <c r="D13" s="92">
        <f>'h19'!C7</f>
        <v>939</v>
      </c>
      <c r="E13" s="611">
        <f>'h19'!D7</f>
        <v>1470</v>
      </c>
      <c r="F13" s="92">
        <f>'h19'!F7</f>
        <v>480</v>
      </c>
      <c r="G13" s="92">
        <f>'h19'!G7</f>
        <v>351</v>
      </c>
      <c r="H13" s="611">
        <f>'h19'!E7</f>
        <v>831</v>
      </c>
    </row>
    <row r="14" spans="1:11" x14ac:dyDescent="0.25">
      <c r="A14" t="s">
        <v>309</v>
      </c>
      <c r="B14" s="65" t="s">
        <v>262</v>
      </c>
      <c r="C14" s="92">
        <f>'h19'!B8</f>
        <v>1892</v>
      </c>
      <c r="D14" s="92">
        <f>'h19'!C8</f>
        <v>2567</v>
      </c>
      <c r="E14" s="611">
        <f>'h19'!D8</f>
        <v>4459</v>
      </c>
      <c r="F14" s="92">
        <f>'h19'!F8</f>
        <v>1880</v>
      </c>
      <c r="G14" s="92">
        <f>'h19'!G8</f>
        <v>776</v>
      </c>
      <c r="H14" s="611">
        <f>'h19'!E8</f>
        <v>2656</v>
      </c>
    </row>
    <row r="15" spans="1:11" x14ac:dyDescent="0.25">
      <c r="A15" t="s">
        <v>287</v>
      </c>
      <c r="B15" s="65" t="s">
        <v>35</v>
      </c>
      <c r="C15" s="92">
        <f>'h19'!B9</f>
        <v>219</v>
      </c>
      <c r="D15" s="92">
        <f>'h19'!C9</f>
        <v>372</v>
      </c>
      <c r="E15" s="611">
        <f>'h19'!D9</f>
        <v>591</v>
      </c>
      <c r="F15" s="92">
        <f>'h19'!F9</f>
        <v>235</v>
      </c>
      <c r="G15" s="92">
        <f>'h19'!G9</f>
        <v>82</v>
      </c>
      <c r="H15" s="611">
        <f>'h19'!E9</f>
        <v>317</v>
      </c>
    </row>
    <row r="16" spans="1:11" x14ac:dyDescent="0.25">
      <c r="A16" t="s">
        <v>288</v>
      </c>
      <c r="B16" s="65" t="s">
        <v>36</v>
      </c>
      <c r="C16" s="92">
        <f>'h19'!B10</f>
        <v>1023</v>
      </c>
      <c r="D16" s="92">
        <f>'h19'!C10</f>
        <v>726</v>
      </c>
      <c r="E16" s="611">
        <f>'h19'!D10</f>
        <v>1749</v>
      </c>
      <c r="F16" s="92">
        <f>'h19'!F10</f>
        <v>1100</v>
      </c>
      <c r="G16" s="92">
        <f>'h19'!G10</f>
        <v>447</v>
      </c>
      <c r="H16" s="611">
        <f>'h19'!E10</f>
        <v>1547</v>
      </c>
    </row>
    <row r="17" spans="1:8" x14ac:dyDescent="0.25">
      <c r="A17" t="s">
        <v>314</v>
      </c>
      <c r="B17" s="65" t="s">
        <v>37</v>
      </c>
      <c r="C17" s="92">
        <f>'h19'!B11</f>
        <v>692</v>
      </c>
      <c r="D17" s="92">
        <f>'h19'!C11</f>
        <v>2702</v>
      </c>
      <c r="E17" s="611">
        <f>'h19'!D11</f>
        <v>3394</v>
      </c>
      <c r="F17" s="92">
        <f>'h19'!F11</f>
        <v>680</v>
      </c>
      <c r="G17" s="92">
        <f>'h19'!G11</f>
        <v>318</v>
      </c>
      <c r="H17" s="611">
        <f>'h19'!E11</f>
        <v>998</v>
      </c>
    </row>
    <row r="18" spans="1:8" x14ac:dyDescent="0.25">
      <c r="A18" t="s">
        <v>289</v>
      </c>
      <c r="B18" s="65" t="s">
        <v>38</v>
      </c>
      <c r="C18" s="92">
        <f>'h19'!B12</f>
        <v>421</v>
      </c>
      <c r="D18" s="92">
        <f>'h19'!C12</f>
        <v>656</v>
      </c>
      <c r="E18" s="611">
        <f>'h19'!D12</f>
        <v>1077</v>
      </c>
      <c r="F18" s="92">
        <f>'h19'!F12</f>
        <v>446</v>
      </c>
      <c r="G18" s="92">
        <f>'h19'!G12</f>
        <v>251</v>
      </c>
      <c r="H18" s="611">
        <f>'h19'!E12</f>
        <v>697</v>
      </c>
    </row>
    <row r="19" spans="1:8" x14ac:dyDescent="0.25">
      <c r="A19" t="s">
        <v>316</v>
      </c>
      <c r="B19" s="65" t="s">
        <v>39</v>
      </c>
      <c r="C19" s="92">
        <f>'h19'!B13</f>
        <v>653</v>
      </c>
      <c r="D19" s="92">
        <f>'h19'!C13</f>
        <v>579</v>
      </c>
      <c r="E19" s="611">
        <f>'h19'!D13</f>
        <v>1232</v>
      </c>
      <c r="F19" s="92">
        <f>'h19'!F13</f>
        <v>755</v>
      </c>
      <c r="G19" s="92">
        <f>'h19'!G13</f>
        <v>285</v>
      </c>
      <c r="H19" s="611">
        <f>'h19'!E13</f>
        <v>1040</v>
      </c>
    </row>
    <row r="20" spans="1:8" x14ac:dyDescent="0.25">
      <c r="A20" t="s">
        <v>290</v>
      </c>
      <c r="B20" s="65" t="s">
        <v>40</v>
      </c>
      <c r="C20" s="92">
        <f>'h19'!B14</f>
        <v>440</v>
      </c>
      <c r="D20" s="92">
        <f>'h19'!C14</f>
        <v>523</v>
      </c>
      <c r="E20" s="611">
        <f>'h19'!D14</f>
        <v>963</v>
      </c>
      <c r="F20" s="92">
        <f>'h19'!F14</f>
        <v>530</v>
      </c>
      <c r="G20" s="92">
        <f>'h19'!G14</f>
        <v>193</v>
      </c>
      <c r="H20" s="611">
        <f>'h19'!E14</f>
        <v>723</v>
      </c>
    </row>
    <row r="21" spans="1:8" x14ac:dyDescent="0.25">
      <c r="A21" t="s">
        <v>291</v>
      </c>
      <c r="B21" s="65" t="s">
        <v>41</v>
      </c>
      <c r="C21" s="92">
        <f>'h19'!B15</f>
        <v>445</v>
      </c>
      <c r="D21" s="92">
        <f>'h19'!C15</f>
        <v>651</v>
      </c>
      <c r="E21" s="611">
        <f>'h19'!D15</f>
        <v>1096</v>
      </c>
      <c r="F21" s="92">
        <f>'h19'!F15</f>
        <v>492</v>
      </c>
      <c r="G21" s="92">
        <f>'h19'!G15</f>
        <v>194</v>
      </c>
      <c r="H21" s="611">
        <f>'h19'!E15</f>
        <v>686</v>
      </c>
    </row>
    <row r="22" spans="1:8" x14ac:dyDescent="0.25">
      <c r="A22" t="s">
        <v>293</v>
      </c>
      <c r="B22" s="65" t="s">
        <v>42</v>
      </c>
      <c r="C22" s="92">
        <f>'h19'!B16</f>
        <v>533</v>
      </c>
      <c r="D22" s="92">
        <f>'h19'!C16</f>
        <v>1326</v>
      </c>
      <c r="E22" s="611">
        <f>'h19'!D16</f>
        <v>1859</v>
      </c>
      <c r="F22" s="92">
        <f>'h19'!F16</f>
        <v>606</v>
      </c>
      <c r="G22" s="92">
        <f>'h19'!G16</f>
        <v>192</v>
      </c>
      <c r="H22" s="611">
        <f>'h19'!E16</f>
        <v>798</v>
      </c>
    </row>
    <row r="23" spans="1:8" x14ac:dyDescent="0.25">
      <c r="A23" t="s">
        <v>441</v>
      </c>
      <c r="B23" s="65" t="s">
        <v>43</v>
      </c>
      <c r="C23" s="92">
        <f>'h19'!B17</f>
        <v>2778</v>
      </c>
      <c r="D23" s="92">
        <f>'h19'!C17</f>
        <v>3429</v>
      </c>
      <c r="E23" s="611">
        <f>'h19'!D17</f>
        <v>6207</v>
      </c>
      <c r="F23" s="92">
        <f>'h19'!F17</f>
        <v>2925</v>
      </c>
      <c r="G23" s="92">
        <f>'h19'!G17</f>
        <v>1478</v>
      </c>
      <c r="H23" s="611">
        <f>'h19'!E17</f>
        <v>4403</v>
      </c>
    </row>
    <row r="24" spans="1:8" x14ac:dyDescent="0.25">
      <c r="A24" t="s">
        <v>317</v>
      </c>
      <c r="B24" s="65" t="s">
        <v>124</v>
      </c>
      <c r="C24" s="92">
        <f>'h19'!B18</f>
        <v>2992</v>
      </c>
      <c r="D24" s="92">
        <f>'h19'!C18</f>
        <v>7063</v>
      </c>
      <c r="E24" s="611">
        <f>'h19'!D18</f>
        <v>10055</v>
      </c>
      <c r="F24" s="92">
        <f>'h19'!F18</f>
        <v>3266</v>
      </c>
      <c r="G24" s="92">
        <f>'h19'!G18</f>
        <v>886</v>
      </c>
      <c r="H24" s="611">
        <f>'h19'!E18</f>
        <v>4152</v>
      </c>
    </row>
    <row r="25" spans="1:8" x14ac:dyDescent="0.25">
      <c r="A25" t="s">
        <v>294</v>
      </c>
      <c r="B25" s="65" t="s">
        <v>44</v>
      </c>
      <c r="C25" s="92">
        <f>'h19'!B19</f>
        <v>812</v>
      </c>
      <c r="D25" s="92">
        <f>'h19'!C19</f>
        <v>2969</v>
      </c>
      <c r="E25" s="611">
        <f>'h19'!D19</f>
        <v>3781</v>
      </c>
      <c r="F25" s="92">
        <f>'h19'!F19</f>
        <v>816</v>
      </c>
      <c r="G25" s="92">
        <f>'h19'!G19</f>
        <v>537</v>
      </c>
      <c r="H25" s="611">
        <f>'h19'!E19</f>
        <v>1353</v>
      </c>
    </row>
    <row r="26" spans="1:8" x14ac:dyDescent="0.25">
      <c r="A26" t="s">
        <v>295</v>
      </c>
      <c r="B26" s="65" t="s">
        <v>45</v>
      </c>
      <c r="C26" s="92">
        <f>'h19'!B20</f>
        <v>634</v>
      </c>
      <c r="D26" s="92">
        <f>'h19'!C20</f>
        <v>895</v>
      </c>
      <c r="E26" s="611">
        <f>'h19'!D20</f>
        <v>1529</v>
      </c>
      <c r="F26" s="92">
        <f>'h19'!F20</f>
        <v>575</v>
      </c>
      <c r="G26" s="92">
        <f>'h19'!G20</f>
        <v>358</v>
      </c>
      <c r="H26" s="611">
        <f>'h19'!E20</f>
        <v>933</v>
      </c>
    </row>
    <row r="27" spans="1:8" x14ac:dyDescent="0.25">
      <c r="A27" t="s">
        <v>296</v>
      </c>
      <c r="B27" s="65" t="s">
        <v>46</v>
      </c>
      <c r="C27" s="92">
        <f>'h19'!B21</f>
        <v>394</v>
      </c>
      <c r="D27" s="92">
        <f>'h19'!C21</f>
        <v>606</v>
      </c>
      <c r="E27" s="611">
        <f>'h19'!D21</f>
        <v>1000</v>
      </c>
      <c r="F27" s="92">
        <f>'h19'!F21</f>
        <v>353</v>
      </c>
      <c r="G27" s="92">
        <f>'h19'!G21</f>
        <v>267</v>
      </c>
      <c r="H27" s="611">
        <f>'h19'!E21</f>
        <v>620</v>
      </c>
    </row>
    <row r="28" spans="1:8" x14ac:dyDescent="0.25">
      <c r="A28" t="s">
        <v>297</v>
      </c>
      <c r="B28" s="65" t="s">
        <v>47</v>
      </c>
      <c r="C28" s="92">
        <f>'h19'!B22</f>
        <v>515</v>
      </c>
      <c r="D28" s="92">
        <f>'h19'!C22</f>
        <v>1149</v>
      </c>
      <c r="E28" s="611">
        <f>'h19'!D22</f>
        <v>1664</v>
      </c>
      <c r="F28" s="92">
        <f>'h19'!F22</f>
        <v>397</v>
      </c>
      <c r="G28" s="92">
        <f>'h19'!G22</f>
        <v>473</v>
      </c>
      <c r="H28" s="611">
        <f>'h19'!E22</f>
        <v>870</v>
      </c>
    </row>
    <row r="29" spans="1:8" x14ac:dyDescent="0.25">
      <c r="A29" t="s">
        <v>292</v>
      </c>
      <c r="B29" s="65" t="s">
        <v>48</v>
      </c>
      <c r="C29" s="92">
        <f>'h19'!B23</f>
        <v>112</v>
      </c>
      <c r="D29" s="92">
        <f>'h19'!C23</f>
        <v>273</v>
      </c>
      <c r="E29" s="611">
        <f>'h19'!D23</f>
        <v>385</v>
      </c>
      <c r="F29" s="92">
        <f>'h19'!F23</f>
        <v>132</v>
      </c>
      <c r="G29" s="92">
        <f>'h19'!G23</f>
        <v>29</v>
      </c>
      <c r="H29" s="611">
        <f>'h19'!E23</f>
        <v>161</v>
      </c>
    </row>
    <row r="30" spans="1:8" x14ac:dyDescent="0.25">
      <c r="A30" t="s">
        <v>298</v>
      </c>
      <c r="B30" s="65" t="s">
        <v>49</v>
      </c>
      <c r="C30" s="92">
        <f>'h19'!B24</f>
        <v>702</v>
      </c>
      <c r="D30" s="92">
        <f>'h19'!C24</f>
        <v>880</v>
      </c>
      <c r="E30" s="611">
        <f>'h19'!D24</f>
        <v>1582</v>
      </c>
      <c r="F30" s="92">
        <f>'h19'!F24</f>
        <v>725</v>
      </c>
      <c r="G30" s="92">
        <f>'h19'!G24</f>
        <v>451</v>
      </c>
      <c r="H30" s="611">
        <f>'h19'!E24</f>
        <v>1176</v>
      </c>
    </row>
    <row r="31" spans="1:8" x14ac:dyDescent="0.25">
      <c r="A31" t="s">
        <v>315</v>
      </c>
      <c r="B31" s="65" t="s">
        <v>50</v>
      </c>
      <c r="C31" s="92">
        <f>'h19'!B25</f>
        <v>1247</v>
      </c>
      <c r="D31" s="92">
        <f>'h19'!C25</f>
        <v>2019</v>
      </c>
      <c r="E31" s="611">
        <f>'h19'!D25</f>
        <v>3266</v>
      </c>
      <c r="F31" s="92">
        <f>'h19'!F25</f>
        <v>1613</v>
      </c>
      <c r="G31" s="92">
        <f>'h19'!G25</f>
        <v>428</v>
      </c>
      <c r="H31" s="611">
        <f>'h19'!E25</f>
        <v>2041</v>
      </c>
    </row>
    <row r="32" spans="1:8" x14ac:dyDescent="0.25">
      <c r="A32" t="s">
        <v>299</v>
      </c>
      <c r="B32" s="65" t="s">
        <v>51</v>
      </c>
      <c r="C32" s="92">
        <f>'h19'!B26</f>
        <v>96</v>
      </c>
      <c r="D32" s="92">
        <f>'h19'!C26</f>
        <v>194</v>
      </c>
      <c r="E32" s="611">
        <f>'h19'!D26</f>
        <v>290</v>
      </c>
      <c r="F32" s="92">
        <f>'h19'!F26</f>
        <v>82</v>
      </c>
      <c r="G32" s="92">
        <f>'h19'!G26</f>
        <v>85</v>
      </c>
      <c r="H32" s="611">
        <f>'h19'!E26</f>
        <v>167</v>
      </c>
    </row>
    <row r="33" spans="1:8" x14ac:dyDescent="0.25">
      <c r="A33" t="s">
        <v>300</v>
      </c>
      <c r="B33" s="65" t="s">
        <v>52</v>
      </c>
      <c r="C33" s="92">
        <f>'h19'!B27</f>
        <v>385</v>
      </c>
      <c r="D33" s="92">
        <f>'h19'!C27</f>
        <v>1083</v>
      </c>
      <c r="E33" s="611">
        <f>'h19'!D27</f>
        <v>1468</v>
      </c>
      <c r="F33" s="92">
        <f>'h19'!F27</f>
        <v>357</v>
      </c>
      <c r="G33" s="92">
        <f>'h19'!G27</f>
        <v>249</v>
      </c>
      <c r="H33" s="611">
        <f>'h19'!E27</f>
        <v>606</v>
      </c>
    </row>
    <row r="34" spans="1:8" x14ac:dyDescent="0.25">
      <c r="A34" t="s">
        <v>310</v>
      </c>
      <c r="B34" s="65" t="s">
        <v>53</v>
      </c>
      <c r="C34" s="92">
        <f>'h19'!B28</f>
        <v>849</v>
      </c>
      <c r="D34" s="92">
        <f>'h19'!C28</f>
        <v>1039</v>
      </c>
      <c r="E34" s="611">
        <f>'h19'!D28</f>
        <v>1888</v>
      </c>
      <c r="F34" s="92">
        <f>'h19'!F28</f>
        <v>805</v>
      </c>
      <c r="G34" s="92">
        <f>'h19'!G28</f>
        <v>475</v>
      </c>
      <c r="H34" s="611">
        <f>'h19'!E28</f>
        <v>1280</v>
      </c>
    </row>
    <row r="35" spans="1:8" x14ac:dyDescent="0.25">
      <c r="A35" t="s">
        <v>301</v>
      </c>
      <c r="B35" s="65" t="s">
        <v>54</v>
      </c>
      <c r="C35" s="92">
        <f>'h19'!B29</f>
        <v>920</v>
      </c>
      <c r="D35" s="92">
        <f>'h19'!C29</f>
        <v>1207</v>
      </c>
      <c r="E35" s="611">
        <f>'h19'!D29</f>
        <v>2127</v>
      </c>
      <c r="F35" s="92">
        <f>'h19'!F29</f>
        <v>740</v>
      </c>
      <c r="G35" s="92">
        <f>'h19'!G29</f>
        <v>673</v>
      </c>
      <c r="H35" s="611">
        <f>'h19'!E29</f>
        <v>1413</v>
      </c>
    </row>
    <row r="36" spans="1:8" x14ac:dyDescent="0.25">
      <c r="A36" t="s">
        <v>302</v>
      </c>
      <c r="B36" s="65" t="s">
        <v>55</v>
      </c>
      <c r="C36" s="92">
        <f>'h19'!B30</f>
        <v>87</v>
      </c>
      <c r="D36" s="92">
        <f>'h19'!C30</f>
        <v>209</v>
      </c>
      <c r="E36" s="611">
        <f>'h19'!D30</f>
        <v>296</v>
      </c>
      <c r="F36" s="92">
        <f>'h19'!F30</f>
        <v>85</v>
      </c>
      <c r="G36" s="92">
        <f>'h19'!G30</f>
        <v>74</v>
      </c>
      <c r="H36" s="611">
        <f>'h19'!E30</f>
        <v>159</v>
      </c>
    </row>
    <row r="37" spans="1:8" x14ac:dyDescent="0.25">
      <c r="A37" t="s">
        <v>303</v>
      </c>
      <c r="B37" s="65" t="s">
        <v>56</v>
      </c>
      <c r="C37" s="92">
        <f>'h19'!B31</f>
        <v>437</v>
      </c>
      <c r="D37" s="92">
        <f>'h19'!C31</f>
        <v>687</v>
      </c>
      <c r="E37" s="611">
        <f>'h19'!D31</f>
        <v>1124</v>
      </c>
      <c r="F37" s="92">
        <f>'h19'!F31</f>
        <v>531</v>
      </c>
      <c r="G37" s="92">
        <f>'h19'!G31</f>
        <v>204</v>
      </c>
      <c r="H37" s="611">
        <f>'h19'!E31</f>
        <v>735</v>
      </c>
    </row>
    <row r="38" spans="1:8" x14ac:dyDescent="0.25">
      <c r="A38" t="s">
        <v>304</v>
      </c>
      <c r="B38" s="65" t="s">
        <v>57</v>
      </c>
      <c r="C38" s="92">
        <f>'h19'!B32</f>
        <v>1352</v>
      </c>
      <c r="D38" s="92">
        <f>'h19'!C32</f>
        <v>2192</v>
      </c>
      <c r="E38" s="611">
        <f>'h19'!D32</f>
        <v>3544</v>
      </c>
      <c r="F38" s="92">
        <f>'h19'!F32</f>
        <v>1663</v>
      </c>
      <c r="G38" s="92">
        <f>'h19'!G32</f>
        <v>484</v>
      </c>
      <c r="H38" s="611">
        <f>'h19'!E32</f>
        <v>2147</v>
      </c>
    </row>
    <row r="39" spans="1:8" x14ac:dyDescent="0.25">
      <c r="A39" t="s">
        <v>305</v>
      </c>
      <c r="B39" s="65" t="s">
        <v>58</v>
      </c>
      <c r="C39" s="92">
        <f>'h19'!B33</f>
        <v>322</v>
      </c>
      <c r="D39" s="92">
        <f>'h19'!C33</f>
        <v>611</v>
      </c>
      <c r="E39" s="611">
        <f>'h19'!D33</f>
        <v>933</v>
      </c>
      <c r="F39" s="92">
        <f>'h19'!F33</f>
        <v>327</v>
      </c>
      <c r="G39" s="92">
        <f>'h19'!G33</f>
        <v>182</v>
      </c>
      <c r="H39" s="611">
        <f>'h19'!E33</f>
        <v>509</v>
      </c>
    </row>
    <row r="40" spans="1:8" x14ac:dyDescent="0.25">
      <c r="A40" t="s">
        <v>311</v>
      </c>
      <c r="B40" s="65" t="s">
        <v>59</v>
      </c>
      <c r="C40" s="92">
        <f>'h19'!B34</f>
        <v>556</v>
      </c>
      <c r="D40" s="92">
        <f>'h19'!C34</f>
        <v>1008</v>
      </c>
      <c r="E40" s="611">
        <f>'h19'!D34</f>
        <v>1564</v>
      </c>
      <c r="F40" s="92">
        <f>'h19'!F34</f>
        <v>642</v>
      </c>
      <c r="G40" s="92">
        <f>'h19'!G34</f>
        <v>185</v>
      </c>
      <c r="H40" s="611">
        <f>'h19'!E34</f>
        <v>827</v>
      </c>
    </row>
    <row r="41" spans="1:8" x14ac:dyDescent="0.25">
      <c r="A41" t="s">
        <v>312</v>
      </c>
      <c r="B41" s="65" t="s">
        <v>60</v>
      </c>
      <c r="C41" s="92">
        <f>'h19'!B35</f>
        <v>851</v>
      </c>
      <c r="D41" s="92">
        <f>'h19'!C35</f>
        <v>1470</v>
      </c>
      <c r="E41" s="611">
        <f>'h19'!D35</f>
        <v>2321</v>
      </c>
      <c r="F41" s="92">
        <f>'h19'!F35</f>
        <v>780</v>
      </c>
      <c r="G41" s="92">
        <f>'h19'!G35</f>
        <v>506</v>
      </c>
      <c r="H41" s="611">
        <f>'h19'!E35</f>
        <v>1286</v>
      </c>
    </row>
    <row r="42" spans="1:8" ht="18.75" customHeight="1" thickBot="1" x14ac:dyDescent="0.3">
      <c r="A42" s="41"/>
      <c r="B42" s="41" t="s">
        <v>840</v>
      </c>
      <c r="C42" s="200">
        <f>SUM(C10:C41)</f>
        <v>24452</v>
      </c>
      <c r="D42" s="200">
        <f t="shared" ref="D42:H42" si="0">SUM(D10:D41)</f>
        <v>44745</v>
      </c>
      <c r="E42" s="200">
        <f t="shared" si="0"/>
        <v>69197</v>
      </c>
      <c r="F42" s="200">
        <f t="shared" si="0"/>
        <v>25632</v>
      </c>
      <c r="G42" s="200">
        <f t="shared" si="0"/>
        <v>11904</v>
      </c>
      <c r="H42" s="200">
        <f t="shared" si="0"/>
        <v>37536</v>
      </c>
    </row>
    <row r="43" spans="1:8" x14ac:dyDescent="0.25">
      <c r="B43" s="13"/>
      <c r="C43" s="58"/>
      <c r="D43" s="58"/>
      <c r="E43" s="77"/>
    </row>
    <row r="44" spans="1:8" x14ac:dyDescent="0.25">
      <c r="A44" s="438" t="s">
        <v>8</v>
      </c>
    </row>
    <row r="45" spans="1:8" ht="60" customHeight="1" x14ac:dyDescent="0.25">
      <c r="A45" s="1015" t="s">
        <v>849</v>
      </c>
      <c r="B45" s="1015"/>
      <c r="C45" s="1015"/>
      <c r="D45" s="1015"/>
      <c r="E45" s="1015"/>
      <c r="F45" s="1015"/>
      <c r="G45" s="1015"/>
      <c r="H45" s="1015"/>
    </row>
    <row r="46" spans="1:8" ht="30.75" customHeight="1" x14ac:dyDescent="0.25">
      <c r="A46" s="999" t="s">
        <v>850</v>
      </c>
      <c r="B46" s="999"/>
      <c r="C46" s="999"/>
      <c r="D46" s="999"/>
      <c r="E46" s="999"/>
      <c r="F46" s="999"/>
      <c r="G46" s="999"/>
      <c r="H46" s="999"/>
    </row>
  </sheetData>
  <sheetProtection algorithmName="SHA-512" hashValue="QjzPDeB+J2cqaSlf4vqSZllR3EdoTZDTcO3Gu0WLt8/OqIKHRjifSXT1ZNqAImpnpmNHoEHDnrtxxx06nNKhMQ==" saltValue="5aorSYSKEqcMBNtN2LH5mg==" spinCount="100000" sheet="1" scenarios="1" pivotTables="0"/>
  <mergeCells count="2">
    <mergeCell ref="A45:H45"/>
    <mergeCell ref="A46:H46"/>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4" tint="0.59999389629810485"/>
  </sheetPr>
  <dimension ref="A1:I47"/>
  <sheetViews>
    <sheetView showGridLines="0" workbookViewId="0">
      <pane ySplit="2" topLeftCell="A3" activePane="bottomLeft" state="frozen"/>
      <selection sqref="A1:C1"/>
      <selection pane="bottomLeft" sqref="A1:C1"/>
    </sheetView>
  </sheetViews>
  <sheetFormatPr defaultRowHeight="15" x14ac:dyDescent="0.25"/>
  <cols>
    <col min="1" max="1" width="18.5703125" customWidth="1"/>
    <col min="2" max="2" width="23.140625" customWidth="1"/>
    <col min="3" max="9" width="14" customWidth="1"/>
  </cols>
  <sheetData>
    <row r="1" spans="1:9" ht="15.75" x14ac:dyDescent="0.25">
      <c r="A1" s="993" t="s">
        <v>611</v>
      </c>
      <c r="B1" s="993"/>
      <c r="C1" s="993"/>
    </row>
    <row r="2" spans="1:9" ht="15.75" x14ac:dyDescent="0.25">
      <c r="A2" s="790" t="s">
        <v>598</v>
      </c>
      <c r="B2" s="792"/>
      <c r="C2" s="792"/>
    </row>
    <row r="3" spans="1:9" ht="15.75" x14ac:dyDescent="0.25">
      <c r="D3" s="243"/>
      <c r="E3" s="243"/>
      <c r="F3" s="243"/>
    </row>
    <row r="4" spans="1:9" ht="15.75" x14ac:dyDescent="0.25">
      <c r="A4" s="994" t="s">
        <v>612</v>
      </c>
      <c r="B4" s="994"/>
      <c r="C4" s="994"/>
      <c r="D4" s="994"/>
      <c r="E4" s="994"/>
      <c r="F4" s="994"/>
    </row>
    <row r="5" spans="1:9" ht="15.75" x14ac:dyDescent="0.25">
      <c r="A5" t="s">
        <v>368</v>
      </c>
      <c r="B5" t="s">
        <v>742</v>
      </c>
      <c r="C5" s="795"/>
      <c r="D5" s="795"/>
      <c r="E5" s="795"/>
      <c r="F5" s="795"/>
    </row>
    <row r="6" spans="1:9" ht="15.75" x14ac:dyDescent="0.25">
      <c r="A6" t="s">
        <v>369</v>
      </c>
      <c r="B6" t="s">
        <v>371</v>
      </c>
      <c r="C6" s="795"/>
      <c r="D6" s="795"/>
      <c r="E6" s="795"/>
      <c r="F6" s="795"/>
    </row>
    <row r="7" spans="1:9" ht="15.75" x14ac:dyDescent="0.25">
      <c r="A7" t="s">
        <v>370</v>
      </c>
      <c r="B7" t="s">
        <v>372</v>
      </c>
      <c r="C7" s="795"/>
      <c r="D7" s="795"/>
      <c r="E7" s="795"/>
      <c r="F7" s="795"/>
    </row>
    <row r="8" spans="1:9" ht="15.75" x14ac:dyDescent="0.25">
      <c r="A8" s="795"/>
      <c r="B8" s="795"/>
      <c r="C8" s="795"/>
      <c r="D8" s="795"/>
      <c r="E8" s="795"/>
      <c r="F8" s="795"/>
    </row>
    <row r="9" spans="1:9" x14ac:dyDescent="0.25">
      <c r="B9" s="249"/>
      <c r="C9" s="250"/>
      <c r="D9" s="250"/>
      <c r="E9" s="250"/>
      <c r="F9" s="555" t="s">
        <v>6</v>
      </c>
      <c r="G9" s="250"/>
      <c r="H9" s="250"/>
      <c r="I9" s="817" t="s">
        <v>7</v>
      </c>
    </row>
    <row r="10" spans="1:9" s="697" customFormat="1" ht="26.25" x14ac:dyDescent="0.25">
      <c r="A10" s="815" t="s">
        <v>534</v>
      </c>
      <c r="B10" s="815" t="s">
        <v>30</v>
      </c>
      <c r="C10" s="262" t="s">
        <v>122</v>
      </c>
      <c r="D10" s="262" t="s">
        <v>28</v>
      </c>
      <c r="E10" s="262" t="s">
        <v>29</v>
      </c>
      <c r="F10" s="816" t="s">
        <v>26</v>
      </c>
      <c r="G10" s="818" t="s">
        <v>122</v>
      </c>
      <c r="H10" s="816" t="s">
        <v>28</v>
      </c>
      <c r="I10" s="816" t="s">
        <v>29</v>
      </c>
    </row>
    <row r="11" spans="1:9" ht="18" customHeight="1" x14ac:dyDescent="0.25">
      <c r="A11" s="581" t="s">
        <v>306</v>
      </c>
      <c r="B11" s="582" t="s">
        <v>31</v>
      </c>
      <c r="C11" s="62">
        <f>IFERROR(GETPIVOTDATA("Sum of Wholetime",'h13'!$A$5,"Council",B11),0)</f>
        <v>3</v>
      </c>
      <c r="D11" s="62">
        <f>IFERROR(GETPIVOTDATA("Sum of Retained",'h13'!$A$5,"Council",B11),0)</f>
        <v>1</v>
      </c>
      <c r="E11" s="62">
        <f>IFERROR(GETPIVOTDATA("Sum of Volunteer",'h13'!$A$5,"Council",B11),0)</f>
        <v>0</v>
      </c>
      <c r="F11" s="252">
        <f t="shared" ref="F11:F42" si="0">SUM(C11:E11)</f>
        <v>4</v>
      </c>
      <c r="G11" s="819">
        <f t="shared" ref="G11:G43" si="1">C11/$F11</f>
        <v>0.75</v>
      </c>
      <c r="H11" s="381">
        <f t="shared" ref="H11:H43" si="2">D11/$F11</f>
        <v>0.25</v>
      </c>
      <c r="I11" s="381">
        <f t="shared" ref="I11:I43" si="3">E11/$F11</f>
        <v>0</v>
      </c>
    </row>
    <row r="12" spans="1:9" x14ac:dyDescent="0.25">
      <c r="A12" s="110" t="s">
        <v>307</v>
      </c>
      <c r="B12" s="65" t="s">
        <v>32</v>
      </c>
      <c r="C12" s="62">
        <f>IFERROR(GETPIVOTDATA("Sum of Wholetime",'h13'!$A$5,"Council",B12),0)</f>
        <v>1</v>
      </c>
      <c r="D12" s="62">
        <f>IFERROR(GETPIVOTDATA("Sum of Retained",'h13'!$A$5,"Council",B12),0)</f>
        <v>23</v>
      </c>
      <c r="E12" s="62">
        <f>IFERROR(GETPIVOTDATA("Sum of Volunteer",'h13'!$A$5,"Council",B12),0)</f>
        <v>0</v>
      </c>
      <c r="F12" s="109">
        <f t="shared" si="0"/>
        <v>24</v>
      </c>
      <c r="G12" s="819">
        <f t="shared" si="1"/>
        <v>4.1666666666666664E-2</v>
      </c>
      <c r="H12" s="381">
        <f t="shared" si="2"/>
        <v>0.95833333333333337</v>
      </c>
      <c r="I12" s="381">
        <f t="shared" si="3"/>
        <v>0</v>
      </c>
    </row>
    <row r="13" spans="1:9" x14ac:dyDescent="0.25">
      <c r="A13" s="110" t="s">
        <v>313</v>
      </c>
      <c r="B13" s="65" t="s">
        <v>33</v>
      </c>
      <c r="C13" s="62">
        <f>IFERROR(GETPIVOTDATA("Sum of Wholetime",'h13'!$A$5,"Council",B13),0)</f>
        <v>1</v>
      </c>
      <c r="D13" s="62">
        <f>IFERROR(GETPIVOTDATA("Sum of Retained",'h13'!$A$5,"Council",B13),0)</f>
        <v>5</v>
      </c>
      <c r="E13" s="62">
        <f>IFERROR(GETPIVOTDATA("Sum of Volunteer",'h13'!$A$5,"Council",B13),0)</f>
        <v>0</v>
      </c>
      <c r="F13" s="109">
        <f t="shared" si="0"/>
        <v>6</v>
      </c>
      <c r="G13" s="819">
        <f t="shared" si="1"/>
        <v>0.16666666666666666</v>
      </c>
      <c r="H13" s="381">
        <f t="shared" si="2"/>
        <v>0.83333333333333337</v>
      </c>
      <c r="I13" s="381">
        <f t="shared" si="3"/>
        <v>0</v>
      </c>
    </row>
    <row r="14" spans="1:9" x14ac:dyDescent="0.25">
      <c r="A14" s="110" t="s">
        <v>308</v>
      </c>
      <c r="B14" s="65" t="s">
        <v>34</v>
      </c>
      <c r="C14" s="62">
        <f>IFERROR(GETPIVOTDATA("Sum of Wholetime",'h13'!$A$5,"Council",B14),0)</f>
        <v>2</v>
      </c>
      <c r="D14" s="62">
        <f>IFERROR(GETPIVOTDATA("Sum of Retained",'h13'!$A$5,"Council",B14),0)</f>
        <v>12</v>
      </c>
      <c r="E14" s="62">
        <f>IFERROR(GETPIVOTDATA("Sum of Volunteer",'h13'!$A$5,"Council",B14),0)</f>
        <v>25</v>
      </c>
      <c r="F14" s="109">
        <f t="shared" si="0"/>
        <v>39</v>
      </c>
      <c r="G14" s="819">
        <f t="shared" si="1"/>
        <v>5.128205128205128E-2</v>
      </c>
      <c r="H14" s="381">
        <f t="shared" si="2"/>
        <v>0.30769230769230771</v>
      </c>
      <c r="I14" s="381">
        <f t="shared" si="3"/>
        <v>0.64102564102564108</v>
      </c>
    </row>
    <row r="15" spans="1:9" x14ac:dyDescent="0.25">
      <c r="A15" s="110" t="s">
        <v>309</v>
      </c>
      <c r="B15" s="65" t="s">
        <v>262</v>
      </c>
      <c r="C15" s="62">
        <f>IFERROR(GETPIVOTDATA("Sum of Wholetime",'h13'!$A$5,"Council",B15),0)</f>
        <v>7</v>
      </c>
      <c r="D15" s="62">
        <f>IFERROR(GETPIVOTDATA("Sum of Retained",'h13'!$A$5,"Council",B15),0)</f>
        <v>1</v>
      </c>
      <c r="E15" s="62">
        <f>IFERROR(GETPIVOTDATA("Sum of Volunteer",'h13'!$A$5,"Council",B15),0)</f>
        <v>0</v>
      </c>
      <c r="F15" s="109">
        <f t="shared" si="0"/>
        <v>8</v>
      </c>
      <c r="G15" s="819">
        <f t="shared" si="1"/>
        <v>0.875</v>
      </c>
      <c r="H15" s="381">
        <f t="shared" si="2"/>
        <v>0.125</v>
      </c>
      <c r="I15" s="381">
        <f t="shared" si="3"/>
        <v>0</v>
      </c>
    </row>
    <row r="16" spans="1:9" x14ac:dyDescent="0.25">
      <c r="A16" s="110" t="s">
        <v>287</v>
      </c>
      <c r="B16" s="65" t="s">
        <v>35</v>
      </c>
      <c r="C16" s="62">
        <f>IFERROR(GETPIVOTDATA("Sum of Wholetime",'h13'!$A$5,"Council",B16),0)</f>
        <v>1</v>
      </c>
      <c r="D16" s="62">
        <f>IFERROR(GETPIVOTDATA("Sum of Retained",'h13'!$A$5,"Council",B16),0)</f>
        <v>1</v>
      </c>
      <c r="E16" s="62">
        <f>IFERROR(GETPIVOTDATA("Sum of Volunteer",'h13'!$A$5,"Council",B16),0)</f>
        <v>0</v>
      </c>
      <c r="F16" s="109">
        <f t="shared" si="0"/>
        <v>2</v>
      </c>
      <c r="G16" s="819">
        <f t="shared" si="1"/>
        <v>0.5</v>
      </c>
      <c r="H16" s="381">
        <f t="shared" si="2"/>
        <v>0.5</v>
      </c>
      <c r="I16" s="381">
        <f t="shared" si="3"/>
        <v>0</v>
      </c>
    </row>
    <row r="17" spans="1:9" x14ac:dyDescent="0.25">
      <c r="A17" s="110" t="s">
        <v>288</v>
      </c>
      <c r="B17" s="65" t="s">
        <v>36</v>
      </c>
      <c r="C17" s="62">
        <f>IFERROR(GETPIVOTDATA("Sum of Wholetime",'h13'!$A$5,"Council",B17),0)</f>
        <v>1</v>
      </c>
      <c r="D17" s="62">
        <f>IFERROR(GETPIVOTDATA("Sum of Retained",'h13'!$A$5,"Council",B17),0)</f>
        <v>15</v>
      </c>
      <c r="E17" s="62">
        <f>IFERROR(GETPIVOTDATA("Sum of Volunteer",'h13'!$A$5,"Council",B17),0)</f>
        <v>1</v>
      </c>
      <c r="F17" s="109">
        <f t="shared" si="0"/>
        <v>17</v>
      </c>
      <c r="G17" s="819">
        <f t="shared" si="1"/>
        <v>5.8823529411764705E-2</v>
      </c>
      <c r="H17" s="381">
        <f t="shared" si="2"/>
        <v>0.88235294117647056</v>
      </c>
      <c r="I17" s="381">
        <f t="shared" si="3"/>
        <v>5.8823529411764705E-2</v>
      </c>
    </row>
    <row r="18" spans="1:9" x14ac:dyDescent="0.25">
      <c r="A18" s="110" t="s">
        <v>314</v>
      </c>
      <c r="B18" s="65" t="s">
        <v>37</v>
      </c>
      <c r="C18" s="62">
        <f>IFERROR(GETPIVOTDATA("Sum of Wholetime",'h13'!$A$5,"Council",B18),0)</f>
        <v>4</v>
      </c>
      <c r="D18" s="62">
        <f>IFERROR(GETPIVOTDATA("Sum of Retained",'h13'!$A$5,"Council",B18),0)</f>
        <v>0</v>
      </c>
      <c r="E18" s="62">
        <f>IFERROR(GETPIVOTDATA("Sum of Volunteer",'h13'!$A$5,"Council",B18),0)</f>
        <v>0</v>
      </c>
      <c r="F18" s="109">
        <f t="shared" si="0"/>
        <v>4</v>
      </c>
      <c r="G18" s="819">
        <f t="shared" si="1"/>
        <v>1</v>
      </c>
      <c r="H18" s="381">
        <f t="shared" si="2"/>
        <v>0</v>
      </c>
      <c r="I18" s="381">
        <f t="shared" si="3"/>
        <v>0</v>
      </c>
    </row>
    <row r="19" spans="1:9" x14ac:dyDescent="0.25">
      <c r="A19" s="110" t="s">
        <v>289</v>
      </c>
      <c r="B19" s="65" t="s">
        <v>38</v>
      </c>
      <c r="C19" s="62">
        <f>IFERROR(GETPIVOTDATA("Sum of Wholetime",'h13'!$A$5,"Council",B19),0)</f>
        <v>1</v>
      </c>
      <c r="D19" s="62">
        <f>IFERROR(GETPIVOTDATA("Sum of Retained",'h13'!$A$5,"Council",B19),0)</f>
        <v>7</v>
      </c>
      <c r="E19" s="62">
        <f>IFERROR(GETPIVOTDATA("Sum of Volunteer",'h13'!$A$5,"Council",B19),0)</f>
        <v>0</v>
      </c>
      <c r="F19" s="109">
        <f t="shared" si="0"/>
        <v>8</v>
      </c>
      <c r="G19" s="819">
        <f t="shared" si="1"/>
        <v>0.125</v>
      </c>
      <c r="H19" s="381">
        <f t="shared" si="2"/>
        <v>0.875</v>
      </c>
      <c r="I19" s="381">
        <f t="shared" si="3"/>
        <v>0</v>
      </c>
    </row>
    <row r="20" spans="1:9" x14ac:dyDescent="0.25">
      <c r="A20" s="110" t="s">
        <v>316</v>
      </c>
      <c r="B20" s="65" t="s">
        <v>39</v>
      </c>
      <c r="C20" s="62">
        <f>IFERROR(GETPIVOTDATA("Sum of Wholetime",'h13'!$A$5,"Council",B20),0)</f>
        <v>3</v>
      </c>
      <c r="D20" s="62">
        <f>IFERROR(GETPIVOTDATA("Sum of Retained",'h13'!$A$5,"Council",B20),0)</f>
        <v>0</v>
      </c>
      <c r="E20" s="62">
        <f>IFERROR(GETPIVOTDATA("Sum of Volunteer",'h13'!$A$5,"Council",B20),0)</f>
        <v>0</v>
      </c>
      <c r="F20" s="109">
        <f t="shared" si="0"/>
        <v>3</v>
      </c>
      <c r="G20" s="819">
        <f t="shared" si="1"/>
        <v>1</v>
      </c>
      <c r="H20" s="381">
        <f t="shared" si="2"/>
        <v>0</v>
      </c>
      <c r="I20" s="381">
        <f t="shared" si="3"/>
        <v>0</v>
      </c>
    </row>
    <row r="21" spans="1:9" x14ac:dyDescent="0.25">
      <c r="A21" s="110" t="s">
        <v>290</v>
      </c>
      <c r="B21" s="65" t="s">
        <v>40</v>
      </c>
      <c r="C21" s="62">
        <f>IFERROR(GETPIVOTDATA("Sum of Wholetime",'h13'!$A$5,"Council",B21),0)</f>
        <v>1</v>
      </c>
      <c r="D21" s="62">
        <f>IFERROR(GETPIVOTDATA("Sum of Retained",'h13'!$A$5,"Council",B21),0)</f>
        <v>5</v>
      </c>
      <c r="E21" s="62">
        <f>IFERROR(GETPIVOTDATA("Sum of Volunteer",'h13'!$A$5,"Council",B21),0)</f>
        <v>0</v>
      </c>
      <c r="F21" s="109">
        <f t="shared" si="0"/>
        <v>6</v>
      </c>
      <c r="G21" s="819">
        <f t="shared" si="1"/>
        <v>0.16666666666666666</v>
      </c>
      <c r="H21" s="381">
        <f t="shared" si="2"/>
        <v>0.83333333333333337</v>
      </c>
      <c r="I21" s="381">
        <f t="shared" si="3"/>
        <v>0</v>
      </c>
    </row>
    <row r="22" spans="1:9" x14ac:dyDescent="0.25">
      <c r="A22" s="110" t="s">
        <v>291</v>
      </c>
      <c r="B22" s="65" t="s">
        <v>41</v>
      </c>
      <c r="C22" s="62">
        <f>IFERROR(GETPIVOTDATA("Sum of Wholetime",'h13'!$A$5,"Council",B22),0)</f>
        <v>2</v>
      </c>
      <c r="D22" s="62">
        <f>IFERROR(GETPIVOTDATA("Sum of Retained",'h13'!$A$5,"Council",B22),0)</f>
        <v>0</v>
      </c>
      <c r="E22" s="62">
        <f>IFERROR(GETPIVOTDATA("Sum of Volunteer",'h13'!$A$5,"Council",B22),0)</f>
        <v>0</v>
      </c>
      <c r="F22" s="109">
        <f t="shared" si="0"/>
        <v>2</v>
      </c>
      <c r="G22" s="819">
        <f t="shared" si="1"/>
        <v>1</v>
      </c>
      <c r="H22" s="381">
        <f t="shared" si="2"/>
        <v>0</v>
      </c>
      <c r="I22" s="381">
        <f t="shared" si="3"/>
        <v>0</v>
      </c>
    </row>
    <row r="23" spans="1:9" x14ac:dyDescent="0.25">
      <c r="A23" s="110" t="s">
        <v>293</v>
      </c>
      <c r="B23" s="65" t="s">
        <v>42</v>
      </c>
      <c r="C23" s="62">
        <f>IFERROR(GETPIVOTDATA("Sum of Wholetime",'h13'!$A$5,"Council",B23),0)</f>
        <v>3</v>
      </c>
      <c r="D23" s="62">
        <f>IFERROR(GETPIVOTDATA("Sum of Retained",'h13'!$A$5,"Council",B23),0)</f>
        <v>2</v>
      </c>
      <c r="E23" s="62">
        <f>IFERROR(GETPIVOTDATA("Sum of Volunteer",'h13'!$A$5,"Council",B23),0)</f>
        <v>0</v>
      </c>
      <c r="F23" s="109">
        <f t="shared" si="0"/>
        <v>5</v>
      </c>
      <c r="G23" s="819">
        <f t="shared" si="1"/>
        <v>0.6</v>
      </c>
      <c r="H23" s="381">
        <f t="shared" si="2"/>
        <v>0.4</v>
      </c>
      <c r="I23" s="381">
        <f t="shared" si="3"/>
        <v>0</v>
      </c>
    </row>
    <row r="24" spans="1:9" x14ac:dyDescent="0.25">
      <c r="A24" s="110" t="s">
        <v>318</v>
      </c>
      <c r="B24" s="65" t="s">
        <v>43</v>
      </c>
      <c r="C24" s="62">
        <f>IFERROR(GETPIVOTDATA("Sum of Wholetime",'h13'!$A$5,"Council",B24),0)</f>
        <v>5</v>
      </c>
      <c r="D24" s="62">
        <f>IFERROR(GETPIVOTDATA("Sum of Retained",'h13'!$A$5,"Council",B24),0)</f>
        <v>8</v>
      </c>
      <c r="E24" s="62">
        <f>IFERROR(GETPIVOTDATA("Sum of Volunteer",'h13'!$A$5,"Council",B24),0)</f>
        <v>0</v>
      </c>
      <c r="F24" s="109">
        <f t="shared" si="0"/>
        <v>13</v>
      </c>
      <c r="G24" s="819">
        <f t="shared" si="1"/>
        <v>0.38461538461538464</v>
      </c>
      <c r="H24" s="381">
        <f t="shared" si="2"/>
        <v>0.61538461538461542</v>
      </c>
      <c r="I24" s="381">
        <f t="shared" si="3"/>
        <v>0</v>
      </c>
    </row>
    <row r="25" spans="1:9" x14ac:dyDescent="0.25">
      <c r="A25" s="110" t="s">
        <v>317</v>
      </c>
      <c r="B25" s="65" t="s">
        <v>124</v>
      </c>
      <c r="C25" s="62">
        <f>IFERROR(GETPIVOTDATA("Sum of Wholetime",'h13'!$A$5,"Council",B25),0)</f>
        <v>11</v>
      </c>
      <c r="D25" s="62">
        <f>IFERROR(GETPIVOTDATA("Sum of Retained",'h13'!$A$5,"Council",B25),0)</f>
        <v>0</v>
      </c>
      <c r="E25" s="62">
        <f>IFERROR(GETPIVOTDATA("Sum of Volunteer",'h13'!$A$5,"Council",B25),0)</f>
        <v>0</v>
      </c>
      <c r="F25" s="109">
        <f t="shared" si="0"/>
        <v>11</v>
      </c>
      <c r="G25" s="819">
        <f t="shared" si="1"/>
        <v>1</v>
      </c>
      <c r="H25" s="381">
        <f t="shared" si="2"/>
        <v>0</v>
      </c>
      <c r="I25" s="381">
        <f t="shared" si="3"/>
        <v>0</v>
      </c>
    </row>
    <row r="26" spans="1:9" x14ac:dyDescent="0.25">
      <c r="A26" s="110" t="s">
        <v>294</v>
      </c>
      <c r="B26" s="65" t="s">
        <v>44</v>
      </c>
      <c r="C26" s="62">
        <f>IFERROR(GETPIVOTDATA("Sum of Wholetime",'h13'!$A$5,"Council",B26),0)</f>
        <v>1</v>
      </c>
      <c r="D26" s="62">
        <f>IFERROR(GETPIVOTDATA("Sum of Retained",'h13'!$A$5,"Council",B26),0)</f>
        <v>51</v>
      </c>
      <c r="E26" s="62">
        <f>IFERROR(GETPIVOTDATA("Sum of Volunteer",'h13'!$A$5,"Council",B26),0)</f>
        <v>9</v>
      </c>
      <c r="F26" s="109">
        <f t="shared" si="0"/>
        <v>61</v>
      </c>
      <c r="G26" s="819">
        <f t="shared" si="1"/>
        <v>1.6393442622950821E-2</v>
      </c>
      <c r="H26" s="381">
        <f t="shared" si="2"/>
        <v>0.83606557377049184</v>
      </c>
      <c r="I26" s="381">
        <f t="shared" si="3"/>
        <v>0.14754098360655737</v>
      </c>
    </row>
    <row r="27" spans="1:9" x14ac:dyDescent="0.25">
      <c r="A27" s="110" t="s">
        <v>295</v>
      </c>
      <c r="B27" s="65" t="s">
        <v>45</v>
      </c>
      <c r="C27" s="62">
        <f>IFERROR(GETPIVOTDATA("Sum of Wholetime",'h13'!$A$5,"Council",B27),0)</f>
        <v>2</v>
      </c>
      <c r="D27" s="62">
        <f>IFERROR(GETPIVOTDATA("Sum of Retained",'h13'!$A$5,"Council",B27),0)</f>
        <v>1</v>
      </c>
      <c r="E27" s="62">
        <f>IFERROR(GETPIVOTDATA("Sum of Volunteer",'h13'!$A$5,"Council",B27),0)</f>
        <v>0</v>
      </c>
      <c r="F27" s="109">
        <f t="shared" si="0"/>
        <v>3</v>
      </c>
      <c r="G27" s="819">
        <f t="shared" si="1"/>
        <v>0.66666666666666663</v>
      </c>
      <c r="H27" s="381">
        <f t="shared" si="2"/>
        <v>0.33333333333333331</v>
      </c>
      <c r="I27" s="381">
        <f t="shared" si="3"/>
        <v>0</v>
      </c>
    </row>
    <row r="28" spans="1:9" x14ac:dyDescent="0.25">
      <c r="A28" s="110" t="s">
        <v>296</v>
      </c>
      <c r="B28" s="65" t="s">
        <v>46</v>
      </c>
      <c r="C28" s="62">
        <f>IFERROR(GETPIVOTDATA("Sum of Wholetime",'h13'!$A$5,"Council",B28),0)</f>
        <v>1</v>
      </c>
      <c r="D28" s="62">
        <f>IFERROR(GETPIVOTDATA("Sum of Retained",'h13'!$A$5,"Council",B28),0)</f>
        <v>1</v>
      </c>
      <c r="E28" s="62">
        <f>IFERROR(GETPIVOTDATA("Sum of Volunteer",'h13'!$A$5,"Council",B28),0)</f>
        <v>0</v>
      </c>
      <c r="F28" s="109">
        <f t="shared" si="0"/>
        <v>2</v>
      </c>
      <c r="G28" s="819">
        <f t="shared" si="1"/>
        <v>0.5</v>
      </c>
      <c r="H28" s="381">
        <f t="shared" si="2"/>
        <v>0.5</v>
      </c>
      <c r="I28" s="381">
        <f t="shared" si="3"/>
        <v>0</v>
      </c>
    </row>
    <row r="29" spans="1:9" x14ac:dyDescent="0.25">
      <c r="A29" s="110" t="s">
        <v>297</v>
      </c>
      <c r="B29" s="65" t="s">
        <v>47</v>
      </c>
      <c r="C29" s="62">
        <f>IFERROR(GETPIVOTDATA("Sum of Wholetime",'h13'!$A$5,"Council",B29),0)</f>
        <v>1</v>
      </c>
      <c r="D29" s="62">
        <f>IFERROR(GETPIVOTDATA("Sum of Retained",'h13'!$A$5,"Council",B29),0)</f>
        <v>10</v>
      </c>
      <c r="E29" s="62">
        <f>IFERROR(GETPIVOTDATA("Sum of Volunteer",'h13'!$A$5,"Council",B29),0)</f>
        <v>0</v>
      </c>
      <c r="F29" s="109">
        <f t="shared" si="0"/>
        <v>11</v>
      </c>
      <c r="G29" s="819">
        <f t="shared" si="1"/>
        <v>9.0909090909090912E-2</v>
      </c>
      <c r="H29" s="381">
        <f t="shared" si="2"/>
        <v>0.90909090909090906</v>
      </c>
      <c r="I29" s="381">
        <f t="shared" si="3"/>
        <v>0</v>
      </c>
    </row>
    <row r="30" spans="1:9" x14ac:dyDescent="0.25">
      <c r="A30" s="110" t="s">
        <v>292</v>
      </c>
      <c r="B30" s="65" t="s">
        <v>48</v>
      </c>
      <c r="C30" s="62">
        <f>IFERROR(GETPIVOTDATA("Sum of Wholetime",'h13'!$A$5,"Council",B30),0)</f>
        <v>0</v>
      </c>
      <c r="D30" s="62">
        <f>IFERROR(GETPIVOTDATA("Sum of Retained",'h13'!$A$5,"Council",B30),0)</f>
        <v>14</v>
      </c>
      <c r="E30" s="62">
        <f>IFERROR(GETPIVOTDATA("Sum of Volunteer",'h13'!$A$5,"Council",B30),0)</f>
        <v>0</v>
      </c>
      <c r="F30" s="109">
        <f t="shared" si="0"/>
        <v>14</v>
      </c>
      <c r="G30" s="819">
        <f t="shared" si="1"/>
        <v>0</v>
      </c>
      <c r="H30" s="381">
        <f t="shared" si="2"/>
        <v>1</v>
      </c>
      <c r="I30" s="381">
        <f t="shared" si="3"/>
        <v>0</v>
      </c>
    </row>
    <row r="31" spans="1:9" x14ac:dyDescent="0.25">
      <c r="A31" s="110" t="s">
        <v>298</v>
      </c>
      <c r="B31" s="65" t="s">
        <v>49</v>
      </c>
      <c r="C31" s="62">
        <f>IFERROR(GETPIVOTDATA("Sum of Wholetime",'h13'!$A$5,"Council",B31),0)</f>
        <v>3</v>
      </c>
      <c r="D31" s="62">
        <f>IFERROR(GETPIVOTDATA("Sum of Retained",'h13'!$A$5,"Council",B31),0)</f>
        <v>8</v>
      </c>
      <c r="E31" s="62">
        <f>IFERROR(GETPIVOTDATA("Sum of Volunteer",'h13'!$A$5,"Council",B31),0)</f>
        <v>3</v>
      </c>
      <c r="F31" s="109">
        <f t="shared" si="0"/>
        <v>14</v>
      </c>
      <c r="G31" s="819">
        <f t="shared" si="1"/>
        <v>0.21428571428571427</v>
      </c>
      <c r="H31" s="381">
        <f t="shared" si="2"/>
        <v>0.5714285714285714</v>
      </c>
      <c r="I31" s="381">
        <f t="shared" si="3"/>
        <v>0.21428571428571427</v>
      </c>
    </row>
    <row r="32" spans="1:9" x14ac:dyDescent="0.25">
      <c r="A32" s="110" t="s">
        <v>315</v>
      </c>
      <c r="B32" s="65" t="s">
        <v>50</v>
      </c>
      <c r="C32" s="62">
        <f>IFERROR(GETPIVOTDATA("Sum of Wholetime",'h13'!$A$5,"Council",B32),0)</f>
        <v>4</v>
      </c>
      <c r="D32" s="62">
        <f>IFERROR(GETPIVOTDATA("Sum of Retained",'h13'!$A$5,"Council",B32),0)</f>
        <v>3</v>
      </c>
      <c r="E32" s="62">
        <f>IFERROR(GETPIVOTDATA("Sum of Volunteer",'h13'!$A$5,"Council",B32),0)</f>
        <v>0</v>
      </c>
      <c r="F32" s="109">
        <f t="shared" si="0"/>
        <v>7</v>
      </c>
      <c r="G32" s="819">
        <f t="shared" si="1"/>
        <v>0.5714285714285714</v>
      </c>
      <c r="H32" s="381">
        <f t="shared" si="2"/>
        <v>0.42857142857142855</v>
      </c>
      <c r="I32" s="381">
        <f t="shared" si="3"/>
        <v>0</v>
      </c>
    </row>
    <row r="33" spans="1:9" x14ac:dyDescent="0.25">
      <c r="A33" s="110" t="s">
        <v>299</v>
      </c>
      <c r="B33" s="65" t="s">
        <v>51</v>
      </c>
      <c r="C33" s="62">
        <f>IFERROR(GETPIVOTDATA("Sum of Wholetime",'h13'!$A$5,"Council",B33),0)</f>
        <v>0</v>
      </c>
      <c r="D33" s="62">
        <f>IFERROR(GETPIVOTDATA("Sum of Retained",'h13'!$A$5,"Council",B33),0)</f>
        <v>12</v>
      </c>
      <c r="E33" s="62">
        <f>IFERROR(GETPIVOTDATA("Sum of Volunteer",'h13'!$A$5,"Council",B33),0)</f>
        <v>0</v>
      </c>
      <c r="F33" s="109">
        <f t="shared" si="0"/>
        <v>12</v>
      </c>
      <c r="G33" s="819">
        <f t="shared" si="1"/>
        <v>0</v>
      </c>
      <c r="H33" s="381">
        <f t="shared" si="2"/>
        <v>1</v>
      </c>
      <c r="I33" s="381">
        <f t="shared" si="3"/>
        <v>0</v>
      </c>
    </row>
    <row r="34" spans="1:9" x14ac:dyDescent="0.25">
      <c r="A34" s="110" t="s">
        <v>300</v>
      </c>
      <c r="B34" s="65" t="s">
        <v>52</v>
      </c>
      <c r="C34" s="62">
        <f>IFERROR(GETPIVOTDATA("Sum of Wholetime",'h13'!$A$5,"Council",B34),0)</f>
        <v>1</v>
      </c>
      <c r="D34" s="62">
        <f>IFERROR(GETPIVOTDATA("Sum of Retained",'h13'!$A$5,"Council",B34),0)</f>
        <v>10</v>
      </c>
      <c r="E34" s="62">
        <f>IFERROR(GETPIVOTDATA("Sum of Volunteer",'h13'!$A$5,"Council",B34),0)</f>
        <v>3</v>
      </c>
      <c r="F34" s="109">
        <f t="shared" si="0"/>
        <v>14</v>
      </c>
      <c r="G34" s="819">
        <f t="shared" si="1"/>
        <v>7.1428571428571425E-2</v>
      </c>
      <c r="H34" s="381">
        <f t="shared" si="2"/>
        <v>0.7142857142857143</v>
      </c>
      <c r="I34" s="381">
        <f t="shared" si="3"/>
        <v>0.21428571428571427</v>
      </c>
    </row>
    <row r="35" spans="1:9" x14ac:dyDescent="0.25">
      <c r="A35" s="110" t="s">
        <v>310</v>
      </c>
      <c r="B35" s="65" t="s">
        <v>53</v>
      </c>
      <c r="C35" s="62">
        <f>IFERROR(GETPIVOTDATA("Sum of Wholetime",'h13'!$A$5,"Council",B35),0)</f>
        <v>3</v>
      </c>
      <c r="D35" s="62">
        <f>IFERROR(GETPIVOTDATA("Sum of Retained",'h13'!$A$5,"Council",B35),0)</f>
        <v>0</v>
      </c>
      <c r="E35" s="62">
        <f>IFERROR(GETPIVOTDATA("Sum of Volunteer",'h13'!$A$5,"Council",B35),0)</f>
        <v>0</v>
      </c>
      <c r="F35" s="109">
        <f t="shared" si="0"/>
        <v>3</v>
      </c>
      <c r="G35" s="819">
        <f t="shared" si="1"/>
        <v>1</v>
      </c>
      <c r="H35" s="381">
        <f t="shared" si="2"/>
        <v>0</v>
      </c>
      <c r="I35" s="381">
        <f t="shared" si="3"/>
        <v>0</v>
      </c>
    </row>
    <row r="36" spans="1:9" x14ac:dyDescent="0.25">
      <c r="A36" s="110" t="s">
        <v>301</v>
      </c>
      <c r="B36" s="65" t="s">
        <v>54</v>
      </c>
      <c r="C36" s="62">
        <f>IFERROR(GETPIVOTDATA("Sum of Wholetime",'h13'!$A$5,"Council",B36),0)</f>
        <v>2</v>
      </c>
      <c r="D36" s="62">
        <f>IFERROR(GETPIVOTDATA("Sum of Retained",'h13'!$A$5,"Council",B36),0)</f>
        <v>11</v>
      </c>
      <c r="E36" s="62">
        <f>IFERROR(GETPIVOTDATA("Sum of Volunteer",'h13'!$A$5,"Council",B36),0)</f>
        <v>0</v>
      </c>
      <c r="F36" s="109">
        <f t="shared" si="0"/>
        <v>13</v>
      </c>
      <c r="G36" s="819">
        <f t="shared" si="1"/>
        <v>0.15384615384615385</v>
      </c>
      <c r="H36" s="381">
        <f t="shared" si="2"/>
        <v>0.84615384615384615</v>
      </c>
      <c r="I36" s="381">
        <f t="shared" si="3"/>
        <v>0</v>
      </c>
    </row>
    <row r="37" spans="1:9" x14ac:dyDescent="0.25">
      <c r="A37" s="110" t="s">
        <v>302</v>
      </c>
      <c r="B37" s="65" t="s">
        <v>55</v>
      </c>
      <c r="C37" s="62">
        <f>IFERROR(GETPIVOTDATA("Sum of Wholetime",'h13'!$A$5,"Council",B37),0)</f>
        <v>0</v>
      </c>
      <c r="D37" s="62">
        <f>IFERROR(GETPIVOTDATA("Sum of Retained",'h13'!$A$5,"Council",B37),0)</f>
        <v>14</v>
      </c>
      <c r="E37" s="62">
        <f>IFERROR(GETPIVOTDATA("Sum of Volunteer",'h13'!$A$5,"Council",B37),0)</f>
        <v>0</v>
      </c>
      <c r="F37" s="109">
        <f t="shared" si="0"/>
        <v>14</v>
      </c>
      <c r="G37" s="819">
        <f t="shared" si="1"/>
        <v>0</v>
      </c>
      <c r="H37" s="381">
        <f t="shared" si="2"/>
        <v>1</v>
      </c>
      <c r="I37" s="381">
        <f t="shared" si="3"/>
        <v>0</v>
      </c>
    </row>
    <row r="38" spans="1:9" x14ac:dyDescent="0.25">
      <c r="A38" s="110" t="s">
        <v>303</v>
      </c>
      <c r="B38" s="65" t="s">
        <v>56</v>
      </c>
      <c r="C38" s="62">
        <f>IFERROR(GETPIVOTDATA("Sum of Wholetime",'h13'!$A$5,"Council",B38),0)</f>
        <v>1</v>
      </c>
      <c r="D38" s="62">
        <f>IFERROR(GETPIVOTDATA("Sum of Retained",'h13'!$A$5,"Council",B38),0)</f>
        <v>4</v>
      </c>
      <c r="E38" s="62">
        <f>IFERROR(GETPIVOTDATA("Sum of Volunteer",'h13'!$A$5,"Council",B38),0)</f>
        <v>0</v>
      </c>
      <c r="F38" s="109">
        <f t="shared" si="0"/>
        <v>5</v>
      </c>
      <c r="G38" s="819">
        <f t="shared" si="1"/>
        <v>0.2</v>
      </c>
      <c r="H38" s="381">
        <f t="shared" si="2"/>
        <v>0.8</v>
      </c>
      <c r="I38" s="381">
        <f t="shared" si="3"/>
        <v>0</v>
      </c>
    </row>
    <row r="39" spans="1:9" x14ac:dyDescent="0.25">
      <c r="A39" s="110" t="s">
        <v>304</v>
      </c>
      <c r="B39" s="65" t="s">
        <v>57</v>
      </c>
      <c r="C39" s="62">
        <f>IFERROR(GETPIVOTDATA("Sum of Wholetime",'h13'!$A$5,"Council",B39),0)</f>
        <v>4</v>
      </c>
      <c r="D39" s="62">
        <f>IFERROR(GETPIVOTDATA("Sum of Retained",'h13'!$A$5,"Council",B39),0)</f>
        <v>7</v>
      </c>
      <c r="E39" s="62">
        <f>IFERROR(GETPIVOTDATA("Sum of Volunteer",'h13'!$A$5,"Council",B39),0)</f>
        <v>1</v>
      </c>
      <c r="F39" s="109">
        <f t="shared" si="0"/>
        <v>12</v>
      </c>
      <c r="G39" s="819">
        <f t="shared" si="1"/>
        <v>0.33333333333333331</v>
      </c>
      <c r="H39" s="381">
        <f t="shared" si="2"/>
        <v>0.58333333333333337</v>
      </c>
      <c r="I39" s="381">
        <f t="shared" si="3"/>
        <v>8.3333333333333329E-2</v>
      </c>
    </row>
    <row r="40" spans="1:9" x14ac:dyDescent="0.25">
      <c r="A40" s="110" t="s">
        <v>305</v>
      </c>
      <c r="B40" s="65" t="s">
        <v>58</v>
      </c>
      <c r="C40" s="62">
        <f>IFERROR(GETPIVOTDATA("Sum of Wholetime",'h13'!$A$5,"Council",B40),0)</f>
        <v>1</v>
      </c>
      <c r="D40" s="62">
        <f>IFERROR(GETPIVOTDATA("Sum of Retained",'h13'!$A$5,"Council",B40),0)</f>
        <v>9</v>
      </c>
      <c r="E40" s="62">
        <f>IFERROR(GETPIVOTDATA("Sum of Volunteer",'h13'!$A$5,"Council",B40),0)</f>
        <v>0</v>
      </c>
      <c r="F40" s="109">
        <f t="shared" si="0"/>
        <v>10</v>
      </c>
      <c r="G40" s="819">
        <f t="shared" si="1"/>
        <v>0.1</v>
      </c>
      <c r="H40" s="381">
        <f t="shared" si="2"/>
        <v>0.9</v>
      </c>
      <c r="I40" s="381">
        <f t="shared" si="3"/>
        <v>0</v>
      </c>
    </row>
    <row r="41" spans="1:9" x14ac:dyDescent="0.25">
      <c r="A41" s="110" t="s">
        <v>311</v>
      </c>
      <c r="B41" s="65" t="s">
        <v>59</v>
      </c>
      <c r="C41" s="62">
        <f>IFERROR(GETPIVOTDATA("Sum of Wholetime",'h13'!$A$5,"Council",B41),0)</f>
        <v>2</v>
      </c>
      <c r="D41" s="62">
        <f>IFERROR(GETPIVOTDATA("Sum of Retained",'h13'!$A$5,"Council",B41),0)</f>
        <v>1</v>
      </c>
      <c r="E41" s="62">
        <f>IFERROR(GETPIVOTDATA("Sum of Volunteer",'h13'!$A$5,"Council",B41),0)</f>
        <v>0</v>
      </c>
      <c r="F41" s="109">
        <f t="shared" si="0"/>
        <v>3</v>
      </c>
      <c r="G41" s="819">
        <f t="shared" si="1"/>
        <v>0.66666666666666663</v>
      </c>
      <c r="H41" s="381">
        <f t="shared" si="2"/>
        <v>0.33333333333333331</v>
      </c>
      <c r="I41" s="381">
        <f t="shared" si="3"/>
        <v>0</v>
      </c>
    </row>
    <row r="42" spans="1:9" ht="15.75" customHeight="1" x14ac:dyDescent="0.25">
      <c r="A42" s="110" t="s">
        <v>312</v>
      </c>
      <c r="B42" s="65" t="s">
        <v>60</v>
      </c>
      <c r="C42" s="62">
        <f>IFERROR(GETPIVOTDATA("Sum of Wholetime",'h13'!$A$5,"Council",B42),0)</f>
        <v>2</v>
      </c>
      <c r="D42" s="62">
        <f>IFERROR(GETPIVOTDATA("Sum of Retained",'h13'!$A$5,"Council",B42),0)</f>
        <v>4</v>
      </c>
      <c r="E42" s="62">
        <f>IFERROR(GETPIVOTDATA("Sum of Volunteer",'h13'!$A$5,"Council",B42),0)</f>
        <v>0</v>
      </c>
      <c r="F42" s="109">
        <f t="shared" si="0"/>
        <v>6</v>
      </c>
      <c r="G42" s="819">
        <f t="shared" si="1"/>
        <v>0.33333333333333331</v>
      </c>
      <c r="H42" s="381">
        <f t="shared" si="2"/>
        <v>0.66666666666666663</v>
      </c>
      <c r="I42" s="381">
        <f t="shared" si="3"/>
        <v>0</v>
      </c>
    </row>
    <row r="43" spans="1:9" ht="21" customHeight="1" thickBot="1" x14ac:dyDescent="0.3">
      <c r="A43" s="41"/>
      <c r="B43" s="41" t="s">
        <v>840</v>
      </c>
      <c r="C43" s="87">
        <f>SUM(C11:C42)</f>
        <v>74</v>
      </c>
      <c r="D43" s="87">
        <f>SUM(D11:D42)</f>
        <v>240</v>
      </c>
      <c r="E43" s="87">
        <f>SUM(E11:E42)</f>
        <v>42</v>
      </c>
      <c r="F43" s="87">
        <f>SUM(F11:F42)</f>
        <v>356</v>
      </c>
      <c r="G43" s="820">
        <f t="shared" si="1"/>
        <v>0.20786516853932585</v>
      </c>
      <c r="H43" s="382">
        <f t="shared" si="2"/>
        <v>0.6741573033707865</v>
      </c>
      <c r="I43" s="382">
        <f t="shared" si="3"/>
        <v>0.11797752808988764</v>
      </c>
    </row>
    <row r="44" spans="1:9" x14ac:dyDescent="0.25">
      <c r="A44" s="253"/>
      <c r="B44" s="254"/>
      <c r="C44" s="254"/>
      <c r="D44" s="254"/>
      <c r="E44" s="254"/>
      <c r="F44" s="251"/>
      <c r="G44" s="383"/>
      <c r="H44" s="383"/>
      <c r="I44" s="251"/>
    </row>
    <row r="45" spans="1:9" x14ac:dyDescent="0.25">
      <c r="A45" s="519" t="s">
        <v>8</v>
      </c>
      <c r="B45" s="520"/>
      <c r="C45" s="520"/>
      <c r="D45" s="520"/>
      <c r="E45" s="520"/>
      <c r="F45" s="522"/>
      <c r="G45" s="523"/>
      <c r="H45" s="523"/>
      <c r="I45" s="521"/>
    </row>
    <row r="46" spans="1:9" ht="30" customHeight="1" x14ac:dyDescent="0.25">
      <c r="A46" s="996" t="s">
        <v>825</v>
      </c>
      <c r="B46" s="996"/>
      <c r="C46" s="996"/>
      <c r="D46" s="996"/>
      <c r="E46" s="996"/>
      <c r="F46" s="996"/>
      <c r="G46" s="996"/>
      <c r="H46" s="996"/>
      <c r="I46" s="996"/>
    </row>
    <row r="47" spans="1:9" ht="45" customHeight="1" x14ac:dyDescent="0.25">
      <c r="A47" s="995" t="s">
        <v>609</v>
      </c>
      <c r="B47" s="995"/>
      <c r="C47" s="995"/>
      <c r="D47" s="995"/>
      <c r="E47" s="995"/>
      <c r="F47" s="995"/>
      <c r="G47" s="995"/>
      <c r="H47" s="995"/>
      <c r="I47" s="995"/>
    </row>
  </sheetData>
  <sheetProtection algorithmName="SHA-512" hashValue="/jrK29tSIHe80/peAarm+0SlruNRCNh3ku92O1YMXpTeeGngtWqWgvfAB0FEaUlFhM0FQQtf0Jzy9ZyuswRtzg==" saltValue="g0oS7cxPg7rocCwpwcQcLw==" spinCount="100000" sheet="1" objects="1" scenarios="1"/>
  <mergeCells count="4">
    <mergeCell ref="A1:C1"/>
    <mergeCell ref="A4:F4"/>
    <mergeCell ref="A47:I47"/>
    <mergeCell ref="A46:I46"/>
  </mergeCells>
  <hyperlinks>
    <hyperlink ref="A2" location="'Table of Contents'!A1" display="Back to Table of Contents"/>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tint="-0.249977111117893"/>
  </sheetPr>
  <dimension ref="A1:H48"/>
  <sheetViews>
    <sheetView showGridLines="0" workbookViewId="0">
      <pane ySplit="2" topLeftCell="A3" activePane="bottomLeft" state="frozen"/>
      <selection sqref="A1:C1"/>
      <selection pane="bottomLeft"/>
    </sheetView>
  </sheetViews>
  <sheetFormatPr defaultRowHeight="15" x14ac:dyDescent="0.25"/>
  <cols>
    <col min="1" max="1" width="17.28515625" customWidth="1"/>
    <col min="2" max="2" width="22.5703125" bestFit="1" customWidth="1"/>
    <col min="3" max="6" width="14.140625" customWidth="1"/>
  </cols>
  <sheetData>
    <row r="1" spans="1:6" ht="15.75" x14ac:dyDescent="0.25">
      <c r="A1" s="822" t="s">
        <v>626</v>
      </c>
    </row>
    <row r="2" spans="1:6" x14ac:dyDescent="0.25">
      <c r="A2" s="790" t="s">
        <v>598</v>
      </c>
    </row>
    <row r="4" spans="1:6" ht="15.75" x14ac:dyDescent="0.25">
      <c r="A4" s="666" t="s">
        <v>722</v>
      </c>
      <c r="B4" s="802"/>
    </row>
    <row r="5" spans="1:6" x14ac:dyDescent="0.25">
      <c r="A5" t="s">
        <v>368</v>
      </c>
      <c r="B5" t="s">
        <v>813</v>
      </c>
    </row>
    <row r="6" spans="1:6" x14ac:dyDescent="0.25">
      <c r="A6" t="s">
        <v>369</v>
      </c>
      <c r="B6" t="s">
        <v>371</v>
      </c>
    </row>
    <row r="7" spans="1:6" x14ac:dyDescent="0.25">
      <c r="A7" t="s">
        <v>370</v>
      </c>
      <c r="B7" t="s">
        <v>627</v>
      </c>
    </row>
    <row r="9" spans="1:6" ht="15" customHeight="1" x14ac:dyDescent="0.25">
      <c r="B9" s="304"/>
      <c r="C9" s="420"/>
      <c r="D9" s="472" t="s">
        <v>7</v>
      </c>
      <c r="E9" s="1039" t="s">
        <v>141</v>
      </c>
      <c r="F9" s="1039"/>
    </row>
    <row r="10" spans="1:6" ht="39" x14ac:dyDescent="0.25">
      <c r="A10" s="97" t="s">
        <v>534</v>
      </c>
      <c r="B10" s="97" t="s">
        <v>123</v>
      </c>
      <c r="C10" s="303" t="s">
        <v>142</v>
      </c>
      <c r="D10" s="303" t="s">
        <v>143</v>
      </c>
      <c r="E10" s="886" t="s">
        <v>142</v>
      </c>
      <c r="F10" s="887" t="s">
        <v>144</v>
      </c>
    </row>
    <row r="11" spans="1:6" ht="20.25" customHeight="1" x14ac:dyDescent="0.25">
      <c r="A11" t="s">
        <v>306</v>
      </c>
      <c r="B11" s="65" t="s">
        <v>31</v>
      </c>
      <c r="C11" s="612">
        <f>'HFSVs LA'!C10/'HFSVs LA'!E10*100</f>
        <v>20.728597449908925</v>
      </c>
      <c r="D11" s="612">
        <f>100-C11</f>
        <v>79.271402550091068</v>
      </c>
      <c r="E11" s="885">
        <f>'HFSVs LA'!H10/'HFSVs LA'!C10</f>
        <v>1.4481546572934973</v>
      </c>
      <c r="F11" s="561">
        <f>'HFSVs LA'!H10/'HFSVs LA'!E10</f>
        <v>0.30018214936247722</v>
      </c>
    </row>
    <row r="12" spans="1:6" x14ac:dyDescent="0.25">
      <c r="A12" t="s">
        <v>307</v>
      </c>
      <c r="B12" s="65" t="s">
        <v>32</v>
      </c>
      <c r="C12" s="612">
        <f>'HFSVs LA'!C11/'HFSVs LA'!E11*100</f>
        <v>31.864406779661014</v>
      </c>
      <c r="D12" s="612">
        <f t="shared" ref="D12:D42" si="0">100-C12</f>
        <v>68.13559322033899</v>
      </c>
      <c r="E12" s="885">
        <f>'HFSVs LA'!H11/'HFSVs LA'!C11</f>
        <v>1.6914893617021276</v>
      </c>
      <c r="F12" s="561">
        <f>'HFSVs LA'!H11/'HFSVs LA'!E11</f>
        <v>0.53898305084745768</v>
      </c>
    </row>
    <row r="13" spans="1:6" x14ac:dyDescent="0.25">
      <c r="A13" t="s">
        <v>313</v>
      </c>
      <c r="B13" s="65" t="s">
        <v>33</v>
      </c>
      <c r="C13" s="612">
        <f>'HFSVs LA'!C12/'HFSVs LA'!E12*100</f>
        <v>24.264705882352942</v>
      </c>
      <c r="D13" s="612">
        <f t="shared" si="0"/>
        <v>75.735294117647058</v>
      </c>
      <c r="E13" s="885">
        <f>'HFSVs LA'!H12/'HFSVs LA'!C12</f>
        <v>1.4615384615384615</v>
      </c>
      <c r="F13" s="561">
        <f>'HFSVs LA'!H12/'HFSVs LA'!E12</f>
        <v>0.35463800904977377</v>
      </c>
    </row>
    <row r="14" spans="1:6" x14ac:dyDescent="0.25">
      <c r="A14" t="s">
        <v>308</v>
      </c>
      <c r="B14" s="65" t="s">
        <v>34</v>
      </c>
      <c r="C14" s="612">
        <f>'HFSVs LA'!C13/'HFSVs LA'!E13*100</f>
        <v>36.122448979591837</v>
      </c>
      <c r="D14" s="612">
        <f t="shared" si="0"/>
        <v>63.877551020408163</v>
      </c>
      <c r="E14" s="885">
        <f>'HFSVs LA'!H13/'HFSVs LA'!C13</f>
        <v>1.5649717514124293</v>
      </c>
      <c r="F14" s="561">
        <f>'HFSVs LA'!H13/'HFSVs LA'!E13</f>
        <v>0.5653061224489796</v>
      </c>
    </row>
    <row r="15" spans="1:6" x14ac:dyDescent="0.25">
      <c r="A15" t="s">
        <v>309</v>
      </c>
      <c r="B15" s="65" t="s">
        <v>262</v>
      </c>
      <c r="C15" s="612">
        <f>'HFSVs LA'!C14/'HFSVs LA'!E14*100</f>
        <v>42.431038349405696</v>
      </c>
      <c r="D15" s="612">
        <f t="shared" si="0"/>
        <v>57.568961650594304</v>
      </c>
      <c r="E15" s="885">
        <f>'HFSVs LA'!H14/'HFSVs LA'!C14</f>
        <v>1.4038054968287526</v>
      </c>
      <c r="F15" s="561">
        <f>'HFSVs LA'!H14/'HFSVs LA'!E14</f>
        <v>0.5956492487104732</v>
      </c>
    </row>
    <row r="16" spans="1:6" x14ac:dyDescent="0.25">
      <c r="A16" t="s">
        <v>287</v>
      </c>
      <c r="B16" s="65" t="s">
        <v>35</v>
      </c>
      <c r="C16" s="612">
        <f>'HFSVs LA'!C15/'HFSVs LA'!E15*100</f>
        <v>37.055837563451774</v>
      </c>
      <c r="D16" s="612">
        <f t="shared" si="0"/>
        <v>62.944162436548226</v>
      </c>
      <c r="E16" s="885">
        <f>'HFSVs LA'!H15/'HFSVs LA'!C15</f>
        <v>1.4474885844748859</v>
      </c>
      <c r="F16" s="561">
        <f>'HFSVs LA'!H15/'HFSVs LA'!E15</f>
        <v>0.53637901861252113</v>
      </c>
    </row>
    <row r="17" spans="1:6" x14ac:dyDescent="0.25">
      <c r="A17" t="s">
        <v>288</v>
      </c>
      <c r="B17" s="65" t="s">
        <v>36</v>
      </c>
      <c r="C17" s="612">
        <f>'HFSVs LA'!C16/'HFSVs LA'!E16*100</f>
        <v>58.490566037735846</v>
      </c>
      <c r="D17" s="612">
        <f t="shared" si="0"/>
        <v>41.509433962264154</v>
      </c>
      <c r="E17" s="885">
        <f>'HFSVs LA'!H16/'HFSVs LA'!C16</f>
        <v>1.512218963831867</v>
      </c>
      <c r="F17" s="561">
        <f>'HFSVs LA'!H16/'HFSVs LA'!E16</f>
        <v>0.88450543167524298</v>
      </c>
    </row>
    <row r="18" spans="1:6" x14ac:dyDescent="0.25">
      <c r="A18" t="s">
        <v>314</v>
      </c>
      <c r="B18" s="65" t="s">
        <v>37</v>
      </c>
      <c r="C18" s="612">
        <f>'HFSVs LA'!C17/'HFSVs LA'!E17*100</f>
        <v>20.388921626399529</v>
      </c>
      <c r="D18" s="612">
        <f t="shared" si="0"/>
        <v>79.611078373600463</v>
      </c>
      <c r="E18" s="885">
        <f>'HFSVs LA'!H17/'HFSVs LA'!C17</f>
        <v>1.4421965317919074</v>
      </c>
      <c r="F18" s="561">
        <f>'HFSVs LA'!H17/'HFSVs LA'!E17</f>
        <v>0.29404832056570418</v>
      </c>
    </row>
    <row r="19" spans="1:6" x14ac:dyDescent="0.25">
      <c r="A19" t="s">
        <v>289</v>
      </c>
      <c r="B19" s="65" t="s">
        <v>38</v>
      </c>
      <c r="C19" s="612">
        <f>'HFSVs LA'!C18/'HFSVs LA'!E18*100</f>
        <v>39.09006499535748</v>
      </c>
      <c r="D19" s="612">
        <f t="shared" si="0"/>
        <v>60.90993500464252</v>
      </c>
      <c r="E19" s="885">
        <f>'HFSVs LA'!H18/'HFSVs LA'!C18</f>
        <v>1.6555819477434679</v>
      </c>
      <c r="F19" s="561">
        <f>'HFSVs LA'!H18/'HFSVs LA'!E18</f>
        <v>0.64716805942432687</v>
      </c>
    </row>
    <row r="20" spans="1:6" x14ac:dyDescent="0.25">
      <c r="A20" t="s">
        <v>316</v>
      </c>
      <c r="B20" s="65" t="s">
        <v>39</v>
      </c>
      <c r="C20" s="612">
        <f>'HFSVs LA'!C19/'HFSVs LA'!E19*100</f>
        <v>53.003246753246756</v>
      </c>
      <c r="D20" s="612">
        <f t="shared" si="0"/>
        <v>46.996753246753244</v>
      </c>
      <c r="E20" s="885">
        <f>'HFSVs LA'!H19/'HFSVs LA'!C19</f>
        <v>1.5926493108728943</v>
      </c>
      <c r="F20" s="561">
        <f>'HFSVs LA'!H19/'HFSVs LA'!E19</f>
        <v>0.8441558441558441</v>
      </c>
    </row>
    <row r="21" spans="1:6" x14ac:dyDescent="0.25">
      <c r="A21" t="s">
        <v>290</v>
      </c>
      <c r="B21" s="65" t="s">
        <v>40</v>
      </c>
      <c r="C21" s="612">
        <f>'HFSVs LA'!C20/'HFSVs LA'!E20*100</f>
        <v>45.690550363447556</v>
      </c>
      <c r="D21" s="612">
        <f t="shared" si="0"/>
        <v>54.309449636552444</v>
      </c>
      <c r="E21" s="885">
        <f>'HFSVs LA'!H20/'HFSVs LA'!C20</f>
        <v>1.6431818181818181</v>
      </c>
      <c r="F21" s="561">
        <f>'HFSVs LA'!H20/'HFSVs LA'!E20</f>
        <v>0.75077881619937692</v>
      </c>
    </row>
    <row r="22" spans="1:6" x14ac:dyDescent="0.25">
      <c r="A22" t="s">
        <v>291</v>
      </c>
      <c r="B22" s="65" t="s">
        <v>41</v>
      </c>
      <c r="C22" s="612">
        <f>'HFSVs LA'!C21/'HFSVs LA'!E21*100</f>
        <v>40.602189781021899</v>
      </c>
      <c r="D22" s="612">
        <f t="shared" si="0"/>
        <v>59.397810218978101</v>
      </c>
      <c r="E22" s="885">
        <f>'HFSVs LA'!H21/'HFSVs LA'!C21</f>
        <v>1.5415730337078652</v>
      </c>
      <c r="F22" s="561">
        <f>'HFSVs LA'!H21/'HFSVs LA'!E21</f>
        <v>0.62591240875912413</v>
      </c>
    </row>
    <row r="23" spans="1:6" x14ac:dyDescent="0.25">
      <c r="A23" t="s">
        <v>293</v>
      </c>
      <c r="B23" s="65" t="s">
        <v>42</v>
      </c>
      <c r="C23" s="612">
        <f>'HFSVs LA'!C22/'HFSVs LA'!E22*100</f>
        <v>28.671328671328673</v>
      </c>
      <c r="D23" s="612">
        <f t="shared" si="0"/>
        <v>71.328671328671334</v>
      </c>
      <c r="E23" s="885">
        <f>'HFSVs LA'!H22/'HFSVs LA'!C22</f>
        <v>1.4971857410881801</v>
      </c>
      <c r="F23" s="561">
        <f>'HFSVs LA'!H22/'HFSVs LA'!E22</f>
        <v>0.42926304464766002</v>
      </c>
    </row>
    <row r="24" spans="1:6" x14ac:dyDescent="0.25">
      <c r="A24" t="s">
        <v>441</v>
      </c>
      <c r="B24" s="65" t="s">
        <v>43</v>
      </c>
      <c r="C24" s="612">
        <f>'HFSVs LA'!C23/'HFSVs LA'!E23*100</f>
        <v>44.755920734654417</v>
      </c>
      <c r="D24" s="612">
        <f t="shared" si="0"/>
        <v>55.244079265345583</v>
      </c>
      <c r="E24" s="885">
        <f>'HFSVs LA'!H23/'HFSVs LA'!C23</f>
        <v>1.5849532037437004</v>
      </c>
      <c r="F24" s="561">
        <f>'HFSVs LA'!H23/'HFSVs LA'!E23</f>
        <v>0.7093603995488964</v>
      </c>
    </row>
    <row r="25" spans="1:6" x14ac:dyDescent="0.25">
      <c r="A25" t="s">
        <v>317</v>
      </c>
      <c r="B25" s="65" t="s">
        <v>124</v>
      </c>
      <c r="C25" s="612">
        <f>'HFSVs LA'!C24/'HFSVs LA'!E24*100</f>
        <v>29.756340129288912</v>
      </c>
      <c r="D25" s="612">
        <f t="shared" si="0"/>
        <v>70.243659870711085</v>
      </c>
      <c r="E25" s="885">
        <f>'HFSVs LA'!H24/'HFSVs LA'!C24</f>
        <v>1.3877005347593583</v>
      </c>
      <c r="F25" s="561">
        <f>'HFSVs LA'!H24/'HFSVs LA'!E24</f>
        <v>0.41292889109895575</v>
      </c>
    </row>
    <row r="26" spans="1:6" x14ac:dyDescent="0.25">
      <c r="A26" t="s">
        <v>294</v>
      </c>
      <c r="B26" s="65" t="s">
        <v>44</v>
      </c>
      <c r="C26" s="612">
        <f>'HFSVs LA'!C25/'HFSVs LA'!E25*100</f>
        <v>21.475800052896059</v>
      </c>
      <c r="D26" s="612">
        <f t="shared" si="0"/>
        <v>78.524199947103938</v>
      </c>
      <c r="E26" s="885">
        <f>'HFSVs LA'!H25/'HFSVs LA'!C25</f>
        <v>1.666256157635468</v>
      </c>
      <c r="F26" s="561">
        <f>'HFSVs LA'!H25/'HFSVs LA'!E25</f>
        <v>0.35784184078286169</v>
      </c>
    </row>
    <row r="27" spans="1:6" x14ac:dyDescent="0.25">
      <c r="A27" t="s">
        <v>295</v>
      </c>
      <c r="B27" s="65" t="s">
        <v>45</v>
      </c>
      <c r="C27" s="612">
        <f>'HFSVs LA'!C26/'HFSVs LA'!E26*100</f>
        <v>41.465009810333555</v>
      </c>
      <c r="D27" s="612">
        <f t="shared" si="0"/>
        <v>58.534990189666445</v>
      </c>
      <c r="E27" s="885">
        <f>'HFSVs LA'!H26/'HFSVs LA'!C26</f>
        <v>1.4716088328075709</v>
      </c>
      <c r="F27" s="561">
        <f>'HFSVs LA'!H26/'HFSVs LA'!E26</f>
        <v>0.61020274689339438</v>
      </c>
    </row>
    <row r="28" spans="1:6" x14ac:dyDescent="0.25">
      <c r="A28" t="s">
        <v>296</v>
      </c>
      <c r="B28" s="65" t="s">
        <v>46</v>
      </c>
      <c r="C28" s="612">
        <f>'HFSVs LA'!C27/'HFSVs LA'!E27*100</f>
        <v>39.4</v>
      </c>
      <c r="D28" s="612">
        <f t="shared" si="0"/>
        <v>60.6</v>
      </c>
      <c r="E28" s="885">
        <f>'HFSVs LA'!H27/'HFSVs LA'!C27</f>
        <v>1.5736040609137056</v>
      </c>
      <c r="F28" s="561">
        <f>'HFSVs LA'!H27/'HFSVs LA'!E27</f>
        <v>0.62</v>
      </c>
    </row>
    <row r="29" spans="1:6" x14ac:dyDescent="0.25">
      <c r="A29" t="s">
        <v>297</v>
      </c>
      <c r="B29" s="65" t="s">
        <v>47</v>
      </c>
      <c r="C29" s="612">
        <f>'HFSVs LA'!C28/'HFSVs LA'!E28*100</f>
        <v>30.94951923076923</v>
      </c>
      <c r="D29" s="612">
        <f t="shared" si="0"/>
        <v>69.050480769230774</v>
      </c>
      <c r="E29" s="885">
        <f>'HFSVs LA'!H28/'HFSVs LA'!C28</f>
        <v>1.6893203883495145</v>
      </c>
      <c r="F29" s="561">
        <f>'HFSVs LA'!H28/'HFSVs LA'!E28</f>
        <v>0.52283653846153844</v>
      </c>
    </row>
    <row r="30" spans="1:6" x14ac:dyDescent="0.25">
      <c r="A30" t="s">
        <v>292</v>
      </c>
      <c r="B30" s="65" t="s">
        <v>48</v>
      </c>
      <c r="C30" s="612">
        <f>'HFSVs LA'!C29/'HFSVs LA'!E29*100</f>
        <v>29.09090909090909</v>
      </c>
      <c r="D30" s="612">
        <f t="shared" si="0"/>
        <v>70.909090909090907</v>
      </c>
      <c r="E30" s="885">
        <f>'HFSVs LA'!H29/'HFSVs LA'!C29</f>
        <v>1.4375</v>
      </c>
      <c r="F30" s="561">
        <f>'HFSVs LA'!H29/'HFSVs LA'!E29</f>
        <v>0.41818181818181815</v>
      </c>
    </row>
    <row r="31" spans="1:6" x14ac:dyDescent="0.25">
      <c r="A31" t="s">
        <v>298</v>
      </c>
      <c r="B31" s="65" t="s">
        <v>49</v>
      </c>
      <c r="C31" s="612">
        <f>'HFSVs LA'!C30/'HFSVs LA'!E30*100</f>
        <v>44.37420986093553</v>
      </c>
      <c r="D31" s="612">
        <f t="shared" si="0"/>
        <v>55.62579013906447</v>
      </c>
      <c r="E31" s="885">
        <f>'HFSVs LA'!H30/'HFSVs LA'!C30</f>
        <v>1.6752136752136753</v>
      </c>
      <c r="F31" s="561">
        <f>'HFSVs LA'!H30/'HFSVs LA'!E30</f>
        <v>0.74336283185840712</v>
      </c>
    </row>
    <row r="32" spans="1:6" x14ac:dyDescent="0.25">
      <c r="A32" t="s">
        <v>315</v>
      </c>
      <c r="B32" s="65" t="s">
        <v>50</v>
      </c>
      <c r="C32" s="612">
        <f>'HFSVs LA'!C31/'HFSVs LA'!E31*100</f>
        <v>38.181261481935088</v>
      </c>
      <c r="D32" s="612">
        <f t="shared" si="0"/>
        <v>61.818738518064912</v>
      </c>
      <c r="E32" s="885">
        <f>'HFSVs LA'!H31/'HFSVs LA'!C31</f>
        <v>1.63672814755413</v>
      </c>
      <c r="F32" s="561">
        <f>'HFSVs LA'!H31/'HFSVs LA'!E31</f>
        <v>0.62492345376607472</v>
      </c>
    </row>
    <row r="33" spans="1:8" x14ac:dyDescent="0.25">
      <c r="A33" t="s">
        <v>299</v>
      </c>
      <c r="B33" s="65" t="s">
        <v>51</v>
      </c>
      <c r="C33" s="612">
        <f>'HFSVs LA'!C32/'HFSVs LA'!E32*100</f>
        <v>33.103448275862071</v>
      </c>
      <c r="D33" s="612">
        <f t="shared" si="0"/>
        <v>66.896551724137936</v>
      </c>
      <c r="E33" s="885">
        <f>'HFSVs LA'!H32/'HFSVs LA'!C32</f>
        <v>1.7395833333333333</v>
      </c>
      <c r="F33" s="561">
        <f>'HFSVs LA'!H32/'HFSVs LA'!E32</f>
        <v>0.57586206896551728</v>
      </c>
    </row>
    <row r="34" spans="1:8" x14ac:dyDescent="0.25">
      <c r="A34" t="s">
        <v>300</v>
      </c>
      <c r="B34" s="65" t="s">
        <v>52</v>
      </c>
      <c r="C34" s="612">
        <f>'HFSVs LA'!C33/'HFSVs LA'!E33*100</f>
        <v>26.22615803814714</v>
      </c>
      <c r="D34" s="612">
        <f t="shared" si="0"/>
        <v>73.773841961852867</v>
      </c>
      <c r="E34" s="885">
        <f>'HFSVs LA'!H33/'HFSVs LA'!C33</f>
        <v>1.5740259740259741</v>
      </c>
      <c r="F34" s="561">
        <f>'HFSVs LA'!H33/'HFSVs LA'!E33</f>
        <v>0.41280653950953677</v>
      </c>
    </row>
    <row r="35" spans="1:8" x14ac:dyDescent="0.25">
      <c r="A35" t="s">
        <v>310</v>
      </c>
      <c r="B35" s="65" t="s">
        <v>53</v>
      </c>
      <c r="C35" s="612">
        <f>'HFSVs LA'!C34/'HFSVs LA'!E34*100</f>
        <v>44.968220338983052</v>
      </c>
      <c r="D35" s="612">
        <f t="shared" si="0"/>
        <v>55.031779661016948</v>
      </c>
      <c r="E35" s="885">
        <f>'HFSVs LA'!H34/'HFSVs LA'!C34</f>
        <v>1.5076560659599529</v>
      </c>
      <c r="F35" s="561">
        <f>'HFSVs LA'!H34/'HFSVs LA'!E34</f>
        <v>0.67796610169491522</v>
      </c>
    </row>
    <row r="36" spans="1:8" x14ac:dyDescent="0.25">
      <c r="A36" t="s">
        <v>301</v>
      </c>
      <c r="B36" s="65" t="s">
        <v>54</v>
      </c>
      <c r="C36" s="612">
        <f>'HFSVs LA'!C35/'HFSVs LA'!E35*100</f>
        <v>43.253408556652559</v>
      </c>
      <c r="D36" s="612">
        <f t="shared" si="0"/>
        <v>56.746591443347441</v>
      </c>
      <c r="E36" s="885">
        <f>'HFSVs LA'!H35/'HFSVs LA'!C35</f>
        <v>1.5358695652173913</v>
      </c>
      <c r="F36" s="561">
        <f>'HFSVs LA'!H35/'HFSVs LA'!E35</f>
        <v>0.6643159379407616</v>
      </c>
    </row>
    <row r="37" spans="1:8" x14ac:dyDescent="0.25">
      <c r="A37" t="s">
        <v>302</v>
      </c>
      <c r="B37" s="65" t="s">
        <v>55</v>
      </c>
      <c r="C37" s="612">
        <f>'HFSVs LA'!C36/'HFSVs LA'!E36*100</f>
        <v>29.391891891891891</v>
      </c>
      <c r="D37" s="612">
        <f t="shared" si="0"/>
        <v>70.608108108108112</v>
      </c>
      <c r="E37" s="885">
        <f>'HFSVs LA'!H36/'HFSVs LA'!C36</f>
        <v>1.8275862068965518</v>
      </c>
      <c r="F37" s="561">
        <f>'HFSVs LA'!H36/'HFSVs LA'!E36</f>
        <v>0.53716216216216217</v>
      </c>
    </row>
    <row r="38" spans="1:8" x14ac:dyDescent="0.25">
      <c r="A38" t="s">
        <v>303</v>
      </c>
      <c r="B38" s="65" t="s">
        <v>56</v>
      </c>
      <c r="C38" s="612">
        <f>'HFSVs LA'!C37/'HFSVs LA'!E37*100</f>
        <v>38.879003558718864</v>
      </c>
      <c r="D38" s="612">
        <f t="shared" si="0"/>
        <v>61.120996441281136</v>
      </c>
      <c r="E38" s="885">
        <f>'HFSVs LA'!H37/'HFSVs LA'!C37</f>
        <v>1.6819221967963387</v>
      </c>
      <c r="F38" s="561">
        <f>'HFSVs LA'!H37/'HFSVs LA'!E37</f>
        <v>0.65391459074733094</v>
      </c>
    </row>
    <row r="39" spans="1:8" x14ac:dyDescent="0.25">
      <c r="A39" t="s">
        <v>304</v>
      </c>
      <c r="B39" s="65" t="s">
        <v>57</v>
      </c>
      <c r="C39" s="612">
        <f>'HFSVs LA'!C38/'HFSVs LA'!E38*100</f>
        <v>38.1489841986456</v>
      </c>
      <c r="D39" s="612">
        <f t="shared" si="0"/>
        <v>61.8510158013544</v>
      </c>
      <c r="E39" s="885">
        <f>'HFSVs LA'!H38/'HFSVs LA'!C38</f>
        <v>1.5880177514792899</v>
      </c>
      <c r="F39" s="561">
        <f>'HFSVs LA'!H38/'HFSVs LA'!E38</f>
        <v>0.6058126410835214</v>
      </c>
    </row>
    <row r="40" spans="1:8" x14ac:dyDescent="0.25">
      <c r="A40" t="s">
        <v>305</v>
      </c>
      <c r="B40" s="65" t="s">
        <v>58</v>
      </c>
      <c r="C40" s="612">
        <f>'HFSVs LA'!C39/'HFSVs LA'!E39*100</f>
        <v>34.512325830653808</v>
      </c>
      <c r="D40" s="612">
        <f t="shared" si="0"/>
        <v>65.487674169346192</v>
      </c>
      <c r="E40" s="885">
        <f>'HFSVs LA'!H39/'HFSVs LA'!C39</f>
        <v>1.5807453416149069</v>
      </c>
      <c r="F40" s="561">
        <f>'HFSVs LA'!H39/'HFSVs LA'!E39</f>
        <v>0.54555198285101825</v>
      </c>
    </row>
    <row r="41" spans="1:8" x14ac:dyDescent="0.25">
      <c r="A41" t="s">
        <v>311</v>
      </c>
      <c r="B41" s="65" t="s">
        <v>59</v>
      </c>
      <c r="C41" s="612">
        <f>'HFSVs LA'!C40/'HFSVs LA'!E40*100</f>
        <v>35.549872122762153</v>
      </c>
      <c r="D41" s="612">
        <f t="shared" si="0"/>
        <v>64.450127877237847</v>
      </c>
      <c r="E41" s="885">
        <f>'HFSVs LA'!H40/'HFSVs LA'!C40</f>
        <v>1.4874100719424461</v>
      </c>
      <c r="F41" s="561">
        <f>'HFSVs LA'!H40/'HFSVs LA'!E40</f>
        <v>0.52877237851662406</v>
      </c>
    </row>
    <row r="42" spans="1:8" x14ac:dyDescent="0.25">
      <c r="A42" t="s">
        <v>312</v>
      </c>
      <c r="B42" s="65" t="s">
        <v>60</v>
      </c>
      <c r="C42" s="612">
        <f>'HFSVs LA'!C41/'HFSVs LA'!E41*100</f>
        <v>36.665230504093067</v>
      </c>
      <c r="D42" s="612">
        <f t="shared" si="0"/>
        <v>63.334769495906933</v>
      </c>
      <c r="E42" s="885">
        <f>'HFSVs LA'!H41/'HFSVs LA'!C41</f>
        <v>1.5111633372502937</v>
      </c>
      <c r="F42" s="561">
        <f>'HFSVs LA'!H41/'HFSVs LA'!E41</f>
        <v>0.5540715208961654</v>
      </c>
    </row>
    <row r="43" spans="1:8" ht="20.25" customHeight="1" thickBot="1" x14ac:dyDescent="0.3">
      <c r="A43" s="41"/>
      <c r="B43" s="41" t="s">
        <v>840</v>
      </c>
      <c r="C43" s="390">
        <f>'HFSVs LA'!C42/'HFSVs LA'!E42*100</f>
        <v>35.336792057459135</v>
      </c>
      <c r="D43" s="390">
        <f t="shared" ref="D43" si="1">100-C43</f>
        <v>64.663207942540865</v>
      </c>
      <c r="E43" s="888">
        <f>'HFSVs LA'!H42/'HFSVs LA'!C42</f>
        <v>1.53508915426141</v>
      </c>
      <c r="F43" s="308">
        <f>'HFSVs LA'!H42/'HFSVs LA'!E42</f>
        <v>0.54245126233796259</v>
      </c>
    </row>
    <row r="44" spans="1:8" x14ac:dyDescent="0.25">
      <c r="B44" s="13"/>
      <c r="C44" s="388"/>
      <c r="D44" s="388"/>
      <c r="E44" s="309"/>
      <c r="F44" s="16"/>
    </row>
    <row r="45" spans="1:8" x14ac:dyDescent="0.25">
      <c r="A45" s="438" t="s">
        <v>8</v>
      </c>
      <c r="B45" s="515"/>
    </row>
    <row r="46" spans="1:8" x14ac:dyDescent="0.25">
      <c r="A46" t="s">
        <v>852</v>
      </c>
      <c r="B46" s="289"/>
      <c r="C46" s="289"/>
      <c r="D46" s="851"/>
      <c r="E46" s="852"/>
      <c r="F46" s="852"/>
      <c r="G46" s="31"/>
      <c r="H46" s="549"/>
    </row>
    <row r="47" spans="1:8" ht="47.25" customHeight="1" x14ac:dyDescent="0.25">
      <c r="A47" s="999" t="s">
        <v>853</v>
      </c>
      <c r="B47" s="999"/>
      <c r="C47" s="999"/>
      <c r="D47" s="999"/>
      <c r="E47" s="999"/>
      <c r="F47" s="999"/>
      <c r="G47" s="999"/>
      <c r="H47" s="999"/>
    </row>
    <row r="48" spans="1:8" x14ac:dyDescent="0.25">
      <c r="B48" s="485"/>
    </row>
  </sheetData>
  <sheetProtection algorithmName="SHA-512" hashValue="u4csbw+yxEkDJxzrLsNUT2NgIMDEVGgEKlPc+13NDVV8OLBfqbsropNriORnqKIw4/k0tz0EhTx+HwMecwv5AA==" saltValue="W58aNqYViBYXHtFQV7BWPw==" spinCount="100000" sheet="1" scenarios="1" pivotTables="0"/>
  <mergeCells count="2">
    <mergeCell ref="E9:F9"/>
    <mergeCell ref="A47:H47"/>
  </mergeCells>
  <hyperlinks>
    <hyperlink ref="A2" location="'Table of Contents'!A1" display="Back to Table of Contents"/>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7" tint="-0.249977111117893"/>
  </sheetPr>
  <dimension ref="A1:M36"/>
  <sheetViews>
    <sheetView workbookViewId="0">
      <selection activeCell="Q33" sqref="Q33"/>
    </sheetView>
  </sheetViews>
  <sheetFormatPr defaultRowHeight="15" x14ac:dyDescent="0.25"/>
  <cols>
    <col min="1" max="1" width="21.85546875" bestFit="1" customWidth="1"/>
    <col min="2" max="2" width="25" bestFit="1" customWidth="1"/>
    <col min="3" max="3" width="22.140625" bestFit="1" customWidth="1"/>
    <col min="4" max="4" width="17" bestFit="1" customWidth="1"/>
    <col min="5" max="5" width="18.42578125" bestFit="1" customWidth="1"/>
    <col min="6" max="6" width="22.7109375" bestFit="1" customWidth="1"/>
    <col min="7" max="7" width="26.85546875" bestFit="1" customWidth="1"/>
    <col min="8" max="8" width="16.42578125" bestFit="1" customWidth="1"/>
    <col min="9" max="9" width="26.85546875" bestFit="1" customWidth="1"/>
    <col min="10" max="10" width="28.140625" bestFit="1" customWidth="1"/>
    <col min="11" max="11" width="18.28515625" bestFit="1" customWidth="1"/>
    <col min="12" max="12" width="28.5703125" bestFit="1" customWidth="1"/>
    <col min="13" max="13" width="30" bestFit="1" customWidth="1"/>
  </cols>
  <sheetData>
    <row r="1" spans="1:13" x14ac:dyDescent="0.25">
      <c r="A1" s="569" t="s">
        <v>334</v>
      </c>
      <c r="B1" t="s">
        <v>258</v>
      </c>
    </row>
    <row r="3" spans="1:13" x14ac:dyDescent="0.25">
      <c r="A3" s="569" t="s">
        <v>250</v>
      </c>
      <c r="B3" t="s">
        <v>478</v>
      </c>
      <c r="C3" t="s">
        <v>479</v>
      </c>
      <c r="D3" t="s">
        <v>480</v>
      </c>
      <c r="E3" t="s">
        <v>481</v>
      </c>
      <c r="F3" t="s">
        <v>482</v>
      </c>
      <c r="G3" t="s">
        <v>483</v>
      </c>
      <c r="H3" t="s">
        <v>484</v>
      </c>
      <c r="I3" t="s">
        <v>485</v>
      </c>
      <c r="J3" t="s">
        <v>486</v>
      </c>
      <c r="K3" t="s">
        <v>487</v>
      </c>
      <c r="L3" t="s">
        <v>488</v>
      </c>
      <c r="M3" t="s">
        <v>489</v>
      </c>
    </row>
    <row r="4" spans="1:13" x14ac:dyDescent="0.25">
      <c r="A4" s="986" t="s">
        <v>31</v>
      </c>
      <c r="B4" s="571">
        <v>569</v>
      </c>
      <c r="C4" s="571">
        <v>2176</v>
      </c>
      <c r="D4" s="571">
        <v>2745</v>
      </c>
      <c r="E4" s="571">
        <v>824</v>
      </c>
      <c r="F4" s="571">
        <v>546</v>
      </c>
      <c r="G4" s="571">
        <v>278</v>
      </c>
      <c r="H4" s="571">
        <v>118131</v>
      </c>
      <c r="I4" s="571">
        <v>2.3239999999999998</v>
      </c>
      <c r="J4" s="571">
        <v>0.69799999999999995</v>
      </c>
      <c r="K4" s="571">
        <v>107586</v>
      </c>
      <c r="L4" s="571">
        <v>2.5510000000000002</v>
      </c>
      <c r="M4" s="571">
        <v>0.76600000000000001</v>
      </c>
    </row>
    <row r="5" spans="1:13" x14ac:dyDescent="0.25">
      <c r="A5" s="986" t="s">
        <v>32</v>
      </c>
      <c r="B5" s="571">
        <v>564</v>
      </c>
      <c r="C5" s="571">
        <v>1206</v>
      </c>
      <c r="D5" s="571">
        <v>1770</v>
      </c>
      <c r="E5" s="571">
        <v>954</v>
      </c>
      <c r="F5" s="571">
        <v>618</v>
      </c>
      <c r="G5" s="571">
        <v>336</v>
      </c>
      <c r="H5" s="571">
        <v>118197</v>
      </c>
      <c r="I5" s="571">
        <v>1.4970000000000001</v>
      </c>
      <c r="J5" s="571">
        <v>0.80700000000000005</v>
      </c>
      <c r="K5" s="571">
        <v>111156</v>
      </c>
      <c r="L5" s="571">
        <v>1.5920000000000001</v>
      </c>
      <c r="M5" s="571">
        <v>0.85799999999999998</v>
      </c>
    </row>
    <row r="6" spans="1:13" x14ac:dyDescent="0.25">
      <c r="A6" s="986" t="s">
        <v>33</v>
      </c>
      <c r="B6" s="571">
        <v>429</v>
      </c>
      <c r="C6" s="571">
        <v>1339</v>
      </c>
      <c r="D6" s="571">
        <v>1768</v>
      </c>
      <c r="E6" s="571">
        <v>627</v>
      </c>
      <c r="F6" s="571">
        <v>450</v>
      </c>
      <c r="G6" s="571">
        <v>177</v>
      </c>
      <c r="H6" s="571">
        <v>56485</v>
      </c>
      <c r="I6" s="571">
        <v>3.13</v>
      </c>
      <c r="J6" s="571">
        <v>1.1100000000000001</v>
      </c>
      <c r="K6" s="571">
        <v>53888</v>
      </c>
      <c r="L6" s="571">
        <v>3.2810000000000001</v>
      </c>
      <c r="M6" s="571">
        <v>1.1639999999999999</v>
      </c>
    </row>
    <row r="7" spans="1:13" x14ac:dyDescent="0.25">
      <c r="A7" s="986" t="s">
        <v>34</v>
      </c>
      <c r="B7" s="571">
        <v>531</v>
      </c>
      <c r="C7" s="571">
        <v>939</v>
      </c>
      <c r="D7" s="571">
        <v>1470</v>
      </c>
      <c r="E7" s="571">
        <v>831</v>
      </c>
      <c r="F7" s="571">
        <v>480</v>
      </c>
      <c r="G7" s="571">
        <v>351</v>
      </c>
      <c r="H7" s="571">
        <v>48020</v>
      </c>
      <c r="I7" s="571">
        <v>3.0609999999999999</v>
      </c>
      <c r="J7" s="571">
        <v>1.7310000000000001</v>
      </c>
      <c r="K7" s="571">
        <v>41630</v>
      </c>
      <c r="L7" s="571">
        <v>3.5310000000000001</v>
      </c>
      <c r="M7" s="571">
        <v>1.996</v>
      </c>
    </row>
    <row r="8" spans="1:13" x14ac:dyDescent="0.25">
      <c r="A8" s="986" t="s">
        <v>262</v>
      </c>
      <c r="B8" s="571">
        <v>1892</v>
      </c>
      <c r="C8" s="571">
        <v>2567</v>
      </c>
      <c r="D8" s="571">
        <v>4459</v>
      </c>
      <c r="E8" s="571">
        <v>2656</v>
      </c>
      <c r="F8" s="571">
        <v>1880</v>
      </c>
      <c r="G8" s="571">
        <v>776</v>
      </c>
      <c r="H8" s="571">
        <v>249810</v>
      </c>
      <c r="I8" s="571">
        <v>1.7849999999999999</v>
      </c>
      <c r="J8" s="571">
        <v>1.0629999999999999</v>
      </c>
      <c r="K8" s="571">
        <v>235771</v>
      </c>
      <c r="L8" s="571">
        <v>1.891</v>
      </c>
      <c r="M8" s="571">
        <v>1.127</v>
      </c>
    </row>
    <row r="9" spans="1:13" x14ac:dyDescent="0.25">
      <c r="A9" s="986" t="s">
        <v>35</v>
      </c>
      <c r="B9" s="571">
        <v>219</v>
      </c>
      <c r="C9" s="571">
        <v>372</v>
      </c>
      <c r="D9" s="571">
        <v>591</v>
      </c>
      <c r="E9" s="571">
        <v>317</v>
      </c>
      <c r="F9" s="571">
        <v>235</v>
      </c>
      <c r="G9" s="571">
        <v>82</v>
      </c>
      <c r="H9" s="571">
        <v>24524</v>
      </c>
      <c r="I9" s="571">
        <v>2.41</v>
      </c>
      <c r="J9" s="571">
        <v>1.2929999999999999</v>
      </c>
      <c r="K9" s="571">
        <v>23674</v>
      </c>
      <c r="L9" s="571">
        <v>2.496</v>
      </c>
      <c r="M9" s="571">
        <v>1.339</v>
      </c>
    </row>
    <row r="10" spans="1:13" x14ac:dyDescent="0.25">
      <c r="A10" s="986" t="s">
        <v>36</v>
      </c>
      <c r="B10" s="571">
        <v>1023</v>
      </c>
      <c r="C10" s="571">
        <v>726</v>
      </c>
      <c r="D10" s="571">
        <v>1749</v>
      </c>
      <c r="E10" s="571">
        <v>1547</v>
      </c>
      <c r="F10" s="571">
        <v>1100</v>
      </c>
      <c r="G10" s="571">
        <v>447</v>
      </c>
      <c r="H10" s="571">
        <v>74823</v>
      </c>
      <c r="I10" s="571">
        <v>2.3380000000000001</v>
      </c>
      <c r="J10" s="571">
        <v>2.0680000000000001</v>
      </c>
      <c r="K10" s="571">
        <v>69586</v>
      </c>
      <c r="L10" s="571">
        <v>2.5129999999999999</v>
      </c>
      <c r="M10" s="571">
        <v>2.2229999999999999</v>
      </c>
    </row>
    <row r="11" spans="1:13" x14ac:dyDescent="0.25">
      <c r="A11" s="986" t="s">
        <v>37</v>
      </c>
      <c r="B11" s="571">
        <v>692</v>
      </c>
      <c r="C11" s="571">
        <v>2702</v>
      </c>
      <c r="D11" s="571">
        <v>3394</v>
      </c>
      <c r="E11" s="571">
        <v>998</v>
      </c>
      <c r="F11" s="571">
        <v>680</v>
      </c>
      <c r="G11" s="571">
        <v>318</v>
      </c>
      <c r="H11" s="571">
        <v>74531</v>
      </c>
      <c r="I11" s="571">
        <v>4.5540000000000003</v>
      </c>
      <c r="J11" s="571">
        <v>1.339</v>
      </c>
      <c r="K11" s="571">
        <v>70337</v>
      </c>
      <c r="L11" s="571">
        <v>4.8250000000000002</v>
      </c>
      <c r="M11" s="571">
        <v>1.419</v>
      </c>
    </row>
    <row r="12" spans="1:13" x14ac:dyDescent="0.25">
      <c r="A12" s="986" t="s">
        <v>38</v>
      </c>
      <c r="B12" s="571">
        <v>421</v>
      </c>
      <c r="C12" s="571">
        <v>656</v>
      </c>
      <c r="D12" s="571">
        <v>1077</v>
      </c>
      <c r="E12" s="571">
        <v>697</v>
      </c>
      <c r="F12" s="571">
        <v>446</v>
      </c>
      <c r="G12" s="571">
        <v>251</v>
      </c>
      <c r="H12" s="571">
        <v>58453</v>
      </c>
      <c r="I12" s="571">
        <v>1.843</v>
      </c>
      <c r="J12" s="571">
        <v>1.1919999999999999</v>
      </c>
      <c r="K12" s="571">
        <v>55107</v>
      </c>
      <c r="L12" s="571">
        <v>1.954</v>
      </c>
      <c r="M12" s="571">
        <v>1.2649999999999999</v>
      </c>
    </row>
    <row r="13" spans="1:13" x14ac:dyDescent="0.25">
      <c r="A13" s="986" t="s">
        <v>39</v>
      </c>
      <c r="B13" s="571">
        <v>653</v>
      </c>
      <c r="C13" s="571">
        <v>579</v>
      </c>
      <c r="D13" s="571">
        <v>1232</v>
      </c>
      <c r="E13" s="571">
        <v>1040</v>
      </c>
      <c r="F13" s="571">
        <v>755</v>
      </c>
      <c r="G13" s="571">
        <v>285</v>
      </c>
      <c r="H13" s="571">
        <v>46721</v>
      </c>
      <c r="I13" s="571">
        <v>2.637</v>
      </c>
      <c r="J13" s="571">
        <v>2.226</v>
      </c>
      <c r="K13" s="571">
        <v>46023</v>
      </c>
      <c r="L13" s="571">
        <v>2.677</v>
      </c>
      <c r="M13" s="571">
        <v>2.2599999999999998</v>
      </c>
    </row>
    <row r="14" spans="1:13" x14ac:dyDescent="0.25">
      <c r="A14" s="986" t="s">
        <v>40</v>
      </c>
      <c r="B14" s="571">
        <v>440</v>
      </c>
      <c r="C14" s="571">
        <v>523</v>
      </c>
      <c r="D14" s="571">
        <v>963</v>
      </c>
      <c r="E14" s="571">
        <v>723</v>
      </c>
      <c r="F14" s="571">
        <v>530</v>
      </c>
      <c r="G14" s="571">
        <v>193</v>
      </c>
      <c r="H14" s="571">
        <v>48055</v>
      </c>
      <c r="I14" s="571">
        <v>2.004</v>
      </c>
      <c r="J14" s="571">
        <v>1.5049999999999999</v>
      </c>
      <c r="K14" s="571">
        <v>45975</v>
      </c>
      <c r="L14" s="571">
        <v>2.0950000000000002</v>
      </c>
      <c r="M14" s="571">
        <v>1.573</v>
      </c>
    </row>
    <row r="15" spans="1:13" x14ac:dyDescent="0.25">
      <c r="A15" s="986" t="s">
        <v>41</v>
      </c>
      <c r="B15" s="571">
        <v>445</v>
      </c>
      <c r="C15" s="571">
        <v>651</v>
      </c>
      <c r="D15" s="571">
        <v>1096</v>
      </c>
      <c r="E15" s="571">
        <v>686</v>
      </c>
      <c r="F15" s="571">
        <v>492</v>
      </c>
      <c r="G15" s="571">
        <v>194</v>
      </c>
      <c r="H15" s="571">
        <v>38902</v>
      </c>
      <c r="I15" s="571">
        <v>2.8170000000000002</v>
      </c>
      <c r="J15" s="571">
        <v>1.7629999999999999</v>
      </c>
      <c r="K15" s="571">
        <v>39108</v>
      </c>
      <c r="L15" s="571">
        <v>2.802</v>
      </c>
      <c r="M15" s="571">
        <v>1.754</v>
      </c>
    </row>
    <row r="16" spans="1:13" x14ac:dyDescent="0.25">
      <c r="A16" s="986" t="s">
        <v>42</v>
      </c>
      <c r="B16" s="571">
        <v>533</v>
      </c>
      <c r="C16" s="571">
        <v>1326</v>
      </c>
      <c r="D16" s="571">
        <v>1859</v>
      </c>
      <c r="E16" s="571">
        <v>798</v>
      </c>
      <c r="F16" s="571">
        <v>606</v>
      </c>
      <c r="G16" s="571">
        <v>192</v>
      </c>
      <c r="H16" s="571">
        <v>74826</v>
      </c>
      <c r="I16" s="571">
        <v>2.484</v>
      </c>
      <c r="J16" s="571">
        <v>1.0660000000000001</v>
      </c>
      <c r="K16" s="571">
        <v>72267</v>
      </c>
      <c r="L16" s="571">
        <v>2.5720000000000001</v>
      </c>
      <c r="M16" s="571">
        <v>1.1040000000000001</v>
      </c>
    </row>
    <row r="17" spans="1:13" x14ac:dyDescent="0.25">
      <c r="A17" s="986" t="s">
        <v>43</v>
      </c>
      <c r="B17" s="571">
        <v>2778</v>
      </c>
      <c r="C17" s="571">
        <v>3429</v>
      </c>
      <c r="D17" s="571">
        <v>6207</v>
      </c>
      <c r="E17" s="571">
        <v>4403</v>
      </c>
      <c r="F17" s="571">
        <v>2925</v>
      </c>
      <c r="G17" s="571">
        <v>1478</v>
      </c>
      <c r="H17" s="571">
        <v>177084</v>
      </c>
      <c r="I17" s="571">
        <v>3.5049999999999999</v>
      </c>
      <c r="J17" s="571">
        <v>2.4860000000000002</v>
      </c>
      <c r="K17" s="571">
        <v>167944</v>
      </c>
      <c r="L17" s="571">
        <v>3.6960000000000002</v>
      </c>
      <c r="M17" s="571">
        <v>2.6219999999999999</v>
      </c>
    </row>
    <row r="18" spans="1:13" x14ac:dyDescent="0.25">
      <c r="A18" s="986" t="s">
        <v>124</v>
      </c>
      <c r="B18" s="571">
        <v>2992</v>
      </c>
      <c r="C18" s="571">
        <v>7063</v>
      </c>
      <c r="D18" s="571">
        <v>10055</v>
      </c>
      <c r="E18" s="571">
        <v>4152</v>
      </c>
      <c r="F18" s="571">
        <v>3266</v>
      </c>
      <c r="G18" s="571">
        <v>886</v>
      </c>
      <c r="H18" s="571">
        <v>311447</v>
      </c>
      <c r="I18" s="571">
        <v>3.2280000000000002</v>
      </c>
      <c r="J18" s="571">
        <v>1.333</v>
      </c>
      <c r="K18" s="571">
        <v>292619</v>
      </c>
      <c r="L18" s="571">
        <v>3.4359999999999999</v>
      </c>
      <c r="M18" s="571">
        <v>1.419</v>
      </c>
    </row>
    <row r="19" spans="1:13" x14ac:dyDescent="0.25">
      <c r="A19" s="986" t="s">
        <v>44</v>
      </c>
      <c r="B19" s="571">
        <v>812</v>
      </c>
      <c r="C19" s="571">
        <v>2969</v>
      </c>
      <c r="D19" s="571">
        <v>3781</v>
      </c>
      <c r="E19" s="571">
        <v>1353</v>
      </c>
      <c r="F19" s="571">
        <v>816</v>
      </c>
      <c r="G19" s="571">
        <v>537</v>
      </c>
      <c r="H19" s="571">
        <v>118117</v>
      </c>
      <c r="I19" s="571">
        <v>3.2010000000000001</v>
      </c>
      <c r="J19" s="571">
        <v>1.145</v>
      </c>
      <c r="K19" s="571">
        <v>108878</v>
      </c>
      <c r="L19" s="571">
        <v>3.4729999999999999</v>
      </c>
      <c r="M19" s="571">
        <v>1.2430000000000001</v>
      </c>
    </row>
    <row r="20" spans="1:13" x14ac:dyDescent="0.25">
      <c r="A20" s="986" t="s">
        <v>45</v>
      </c>
      <c r="B20" s="571">
        <v>634</v>
      </c>
      <c r="C20" s="571">
        <v>895</v>
      </c>
      <c r="D20" s="571">
        <v>1529</v>
      </c>
      <c r="E20" s="571">
        <v>933</v>
      </c>
      <c r="F20" s="571">
        <v>575</v>
      </c>
      <c r="G20" s="571">
        <v>358</v>
      </c>
      <c r="H20" s="571">
        <v>38985</v>
      </c>
      <c r="I20" s="571">
        <v>3.9220000000000002</v>
      </c>
      <c r="J20" s="571">
        <v>2.3929999999999998</v>
      </c>
      <c r="K20" s="571">
        <v>37640</v>
      </c>
      <c r="L20" s="571">
        <v>4.0620000000000003</v>
      </c>
      <c r="M20" s="571">
        <v>2.4790000000000001</v>
      </c>
    </row>
    <row r="21" spans="1:13" x14ac:dyDescent="0.25">
      <c r="A21" s="986" t="s">
        <v>46</v>
      </c>
      <c r="B21" s="571">
        <v>394</v>
      </c>
      <c r="C21" s="571">
        <v>606</v>
      </c>
      <c r="D21" s="571">
        <v>1000</v>
      </c>
      <c r="E21" s="571">
        <v>620</v>
      </c>
      <c r="F21" s="571">
        <v>353</v>
      </c>
      <c r="G21" s="571">
        <v>267</v>
      </c>
      <c r="H21" s="571">
        <v>40612</v>
      </c>
      <c r="I21" s="571">
        <v>2.4620000000000002</v>
      </c>
      <c r="J21" s="571">
        <v>1.5269999999999999</v>
      </c>
      <c r="K21" s="571">
        <v>39122</v>
      </c>
      <c r="L21" s="571">
        <v>2.556</v>
      </c>
      <c r="M21" s="571">
        <v>1.585</v>
      </c>
    </row>
    <row r="22" spans="1:13" x14ac:dyDescent="0.25">
      <c r="A22" s="986" t="s">
        <v>47</v>
      </c>
      <c r="B22" s="571">
        <v>515</v>
      </c>
      <c r="C22" s="571">
        <v>1149</v>
      </c>
      <c r="D22" s="571">
        <v>1664</v>
      </c>
      <c r="E22" s="571">
        <v>870</v>
      </c>
      <c r="F22" s="571">
        <v>397</v>
      </c>
      <c r="G22" s="571">
        <v>473</v>
      </c>
      <c r="H22" s="571">
        <v>45209</v>
      </c>
      <c r="I22" s="571">
        <v>3.681</v>
      </c>
      <c r="J22" s="571">
        <v>1.9239999999999999</v>
      </c>
      <c r="K22" s="571">
        <v>42554</v>
      </c>
      <c r="L22" s="571">
        <v>3.91</v>
      </c>
      <c r="M22" s="571">
        <v>2.044</v>
      </c>
    </row>
    <row r="23" spans="1:13" x14ac:dyDescent="0.25">
      <c r="A23" s="986" t="s">
        <v>48</v>
      </c>
      <c r="B23" s="571">
        <v>112</v>
      </c>
      <c r="C23" s="571">
        <v>273</v>
      </c>
      <c r="D23" s="571">
        <v>385</v>
      </c>
      <c r="E23" s="571">
        <v>161</v>
      </c>
      <c r="F23" s="571">
        <v>132</v>
      </c>
      <c r="G23" s="571">
        <v>29</v>
      </c>
      <c r="H23" s="571">
        <v>14706</v>
      </c>
      <c r="I23" s="571">
        <v>2.6179999999999999</v>
      </c>
      <c r="J23" s="571">
        <v>1.095</v>
      </c>
      <c r="K23" s="571">
        <v>12773</v>
      </c>
      <c r="L23" s="571">
        <v>3.0139999999999998</v>
      </c>
      <c r="M23" s="571">
        <v>1.26</v>
      </c>
    </row>
    <row r="24" spans="1:13" x14ac:dyDescent="0.25">
      <c r="A24" s="986" t="s">
        <v>49</v>
      </c>
      <c r="B24" s="571">
        <v>702</v>
      </c>
      <c r="C24" s="571">
        <v>880</v>
      </c>
      <c r="D24" s="571">
        <v>1582</v>
      </c>
      <c r="E24" s="571">
        <v>1176</v>
      </c>
      <c r="F24" s="571">
        <v>725</v>
      </c>
      <c r="G24" s="571">
        <v>451</v>
      </c>
      <c r="H24" s="571">
        <v>68158</v>
      </c>
      <c r="I24" s="571">
        <v>2.3210000000000002</v>
      </c>
      <c r="J24" s="571">
        <v>1.7250000000000001</v>
      </c>
      <c r="K24" s="571">
        <v>63935</v>
      </c>
      <c r="L24" s="571">
        <v>2.4740000000000002</v>
      </c>
      <c r="M24" s="571">
        <v>1.839</v>
      </c>
    </row>
    <row r="25" spans="1:13" x14ac:dyDescent="0.25">
      <c r="A25" s="986" t="s">
        <v>50</v>
      </c>
      <c r="B25" s="571">
        <v>1247</v>
      </c>
      <c r="C25" s="571">
        <v>2019</v>
      </c>
      <c r="D25" s="571">
        <v>3266</v>
      </c>
      <c r="E25" s="571">
        <v>2041</v>
      </c>
      <c r="F25" s="571">
        <v>1613</v>
      </c>
      <c r="G25" s="571">
        <v>428</v>
      </c>
      <c r="H25" s="571">
        <v>155364</v>
      </c>
      <c r="I25" s="571">
        <v>2.1019999999999999</v>
      </c>
      <c r="J25" s="571">
        <v>1.3140000000000001</v>
      </c>
      <c r="K25" s="571">
        <v>151744</v>
      </c>
      <c r="L25" s="571">
        <v>2.1520000000000001</v>
      </c>
      <c r="M25" s="571">
        <v>1.345</v>
      </c>
    </row>
    <row r="26" spans="1:13" x14ac:dyDescent="0.25">
      <c r="A26" s="986" t="s">
        <v>51</v>
      </c>
      <c r="B26" s="571">
        <v>96</v>
      </c>
      <c r="C26" s="571">
        <v>194</v>
      </c>
      <c r="D26" s="571">
        <v>290</v>
      </c>
      <c r="E26" s="571">
        <v>167</v>
      </c>
      <c r="F26" s="571">
        <v>82</v>
      </c>
      <c r="G26" s="571">
        <v>85</v>
      </c>
      <c r="H26" s="571">
        <v>11261</v>
      </c>
      <c r="I26" s="571">
        <v>2.5750000000000002</v>
      </c>
      <c r="J26" s="571">
        <v>1.4830000000000001</v>
      </c>
      <c r="K26" s="571">
        <v>10506</v>
      </c>
      <c r="L26" s="571">
        <v>2.76</v>
      </c>
      <c r="M26" s="571">
        <v>1.59</v>
      </c>
    </row>
    <row r="27" spans="1:13" x14ac:dyDescent="0.25">
      <c r="A27" s="986" t="s">
        <v>52</v>
      </c>
      <c r="B27" s="571">
        <v>385</v>
      </c>
      <c r="C27" s="571">
        <v>1083</v>
      </c>
      <c r="D27" s="571">
        <v>1468</v>
      </c>
      <c r="E27" s="571">
        <v>606</v>
      </c>
      <c r="F27" s="571">
        <v>357</v>
      </c>
      <c r="G27" s="571">
        <v>249</v>
      </c>
      <c r="H27" s="571">
        <v>72441</v>
      </c>
      <c r="I27" s="571">
        <v>2.0259999999999998</v>
      </c>
      <c r="J27" s="571">
        <v>0.83699999999999997</v>
      </c>
      <c r="K27" s="571">
        <v>68196</v>
      </c>
      <c r="L27" s="571">
        <v>2.153</v>
      </c>
      <c r="M27" s="571">
        <v>0.88900000000000001</v>
      </c>
    </row>
    <row r="28" spans="1:13" x14ac:dyDescent="0.25">
      <c r="A28" s="986" t="s">
        <v>53</v>
      </c>
      <c r="B28" s="571">
        <v>849</v>
      </c>
      <c r="C28" s="571">
        <v>1039</v>
      </c>
      <c r="D28" s="571">
        <v>1888</v>
      </c>
      <c r="E28" s="571">
        <v>1280</v>
      </c>
      <c r="F28" s="571">
        <v>805</v>
      </c>
      <c r="G28" s="571">
        <v>475</v>
      </c>
      <c r="H28" s="571">
        <v>87265</v>
      </c>
      <c r="I28" s="571">
        <v>2.1640000000000001</v>
      </c>
      <c r="J28" s="571">
        <v>1.4670000000000001</v>
      </c>
      <c r="K28" s="571">
        <v>85745</v>
      </c>
      <c r="L28" s="571">
        <v>2.202</v>
      </c>
      <c r="M28" s="571">
        <v>1.4930000000000001</v>
      </c>
    </row>
    <row r="29" spans="1:13" x14ac:dyDescent="0.25">
      <c r="A29" s="986" t="s">
        <v>54</v>
      </c>
      <c r="B29" s="571">
        <v>920</v>
      </c>
      <c r="C29" s="571">
        <v>1207</v>
      </c>
      <c r="D29" s="571">
        <v>2127</v>
      </c>
      <c r="E29" s="571">
        <v>1413</v>
      </c>
      <c r="F29" s="571">
        <v>740</v>
      </c>
      <c r="G29" s="571">
        <v>673</v>
      </c>
      <c r="H29" s="571">
        <v>58425</v>
      </c>
      <c r="I29" s="571">
        <v>3.641</v>
      </c>
      <c r="J29" s="571">
        <v>2.4180000000000001</v>
      </c>
      <c r="K29" s="571">
        <v>54413</v>
      </c>
      <c r="L29" s="571">
        <v>3.9089999999999998</v>
      </c>
      <c r="M29" s="571">
        <v>2.597</v>
      </c>
    </row>
    <row r="30" spans="1:13" x14ac:dyDescent="0.25">
      <c r="A30" s="986" t="s">
        <v>55</v>
      </c>
      <c r="B30" s="571">
        <v>87</v>
      </c>
      <c r="C30" s="571">
        <v>209</v>
      </c>
      <c r="D30" s="571">
        <v>296</v>
      </c>
      <c r="E30" s="571">
        <v>159</v>
      </c>
      <c r="F30" s="571">
        <v>85</v>
      </c>
      <c r="G30" s="571">
        <v>74</v>
      </c>
      <c r="H30" s="571">
        <v>11270</v>
      </c>
      <c r="I30" s="571">
        <v>2.6259999999999999</v>
      </c>
      <c r="J30" s="571">
        <v>1.411</v>
      </c>
      <c r="K30" s="571">
        <v>10384</v>
      </c>
      <c r="L30" s="571">
        <v>2.851</v>
      </c>
      <c r="M30" s="571">
        <v>1.5309999999999999</v>
      </c>
    </row>
    <row r="31" spans="1:13" x14ac:dyDescent="0.25">
      <c r="A31" s="986" t="s">
        <v>56</v>
      </c>
      <c r="B31" s="571">
        <v>437</v>
      </c>
      <c r="C31" s="571">
        <v>687</v>
      </c>
      <c r="D31" s="571">
        <v>1124</v>
      </c>
      <c r="E31" s="571">
        <v>735</v>
      </c>
      <c r="F31" s="571">
        <v>531</v>
      </c>
      <c r="G31" s="571">
        <v>204</v>
      </c>
      <c r="H31" s="571">
        <v>55486</v>
      </c>
      <c r="I31" s="571">
        <v>2.0259999999999998</v>
      </c>
      <c r="J31" s="571">
        <v>1.325</v>
      </c>
      <c r="K31" s="571">
        <v>52281</v>
      </c>
      <c r="L31" s="571">
        <v>2.15</v>
      </c>
      <c r="M31" s="571">
        <v>1.4059999999999999</v>
      </c>
    </row>
    <row r="32" spans="1:13" x14ac:dyDescent="0.25">
      <c r="A32" s="986" t="s">
        <v>57</v>
      </c>
      <c r="B32" s="571">
        <v>1352</v>
      </c>
      <c r="C32" s="571">
        <v>2192</v>
      </c>
      <c r="D32" s="571">
        <v>3544</v>
      </c>
      <c r="E32" s="571">
        <v>2147</v>
      </c>
      <c r="F32" s="571">
        <v>1663</v>
      </c>
      <c r="G32" s="571">
        <v>484</v>
      </c>
      <c r="H32" s="571">
        <v>151352</v>
      </c>
      <c r="I32" s="571">
        <v>2.3420000000000001</v>
      </c>
      <c r="J32" s="571">
        <v>1.419</v>
      </c>
      <c r="K32" s="571">
        <v>146173</v>
      </c>
      <c r="L32" s="571">
        <v>2.4249999999999998</v>
      </c>
      <c r="M32" s="571">
        <v>1.4690000000000001</v>
      </c>
    </row>
    <row r="33" spans="1:13" x14ac:dyDescent="0.25">
      <c r="A33" s="986" t="s">
        <v>58</v>
      </c>
      <c r="B33" s="571">
        <v>322</v>
      </c>
      <c r="C33" s="571">
        <v>611</v>
      </c>
      <c r="D33" s="571">
        <v>933</v>
      </c>
      <c r="E33" s="571">
        <v>509</v>
      </c>
      <c r="F33" s="571">
        <v>327</v>
      </c>
      <c r="G33" s="571">
        <v>182</v>
      </c>
      <c r="H33" s="571">
        <v>41443</v>
      </c>
      <c r="I33" s="571">
        <v>2.2509999999999999</v>
      </c>
      <c r="J33" s="571">
        <v>1.228</v>
      </c>
      <c r="K33" s="571">
        <v>39440</v>
      </c>
      <c r="L33" s="571">
        <v>2.3660000000000001</v>
      </c>
      <c r="M33" s="571">
        <v>1.2909999999999999</v>
      </c>
    </row>
    <row r="34" spans="1:13" x14ac:dyDescent="0.25">
      <c r="A34" s="986" t="s">
        <v>59</v>
      </c>
      <c r="B34" s="571">
        <v>556</v>
      </c>
      <c r="C34" s="571">
        <v>1008</v>
      </c>
      <c r="D34" s="571">
        <v>1564</v>
      </c>
      <c r="E34" s="571">
        <v>827</v>
      </c>
      <c r="F34" s="571">
        <v>642</v>
      </c>
      <c r="G34" s="571">
        <v>185</v>
      </c>
      <c r="H34" s="571">
        <v>45228</v>
      </c>
      <c r="I34" s="571">
        <v>3.4580000000000002</v>
      </c>
      <c r="J34" s="571">
        <v>1.829</v>
      </c>
      <c r="K34" s="571">
        <v>42868</v>
      </c>
      <c r="L34" s="571">
        <v>3.6480000000000001</v>
      </c>
      <c r="M34" s="571">
        <v>1.929</v>
      </c>
    </row>
    <row r="35" spans="1:13" x14ac:dyDescent="0.25">
      <c r="A35" s="986" t="s">
        <v>60</v>
      </c>
      <c r="B35" s="571">
        <v>851</v>
      </c>
      <c r="C35" s="571">
        <v>1470</v>
      </c>
      <c r="D35" s="571">
        <v>2321</v>
      </c>
      <c r="E35" s="571">
        <v>1286</v>
      </c>
      <c r="F35" s="571">
        <v>780</v>
      </c>
      <c r="G35" s="571">
        <v>506</v>
      </c>
      <c r="H35" s="571">
        <v>79854</v>
      </c>
      <c r="I35" s="571">
        <v>2.907</v>
      </c>
      <c r="J35" s="571">
        <v>1.61</v>
      </c>
      <c r="K35" s="571">
        <v>77953</v>
      </c>
      <c r="L35" s="571">
        <v>2.9769999999999999</v>
      </c>
      <c r="M35" s="571">
        <v>1.65</v>
      </c>
    </row>
    <row r="36" spans="1:13" x14ac:dyDescent="0.25">
      <c r="A36" s="986" t="s">
        <v>255</v>
      </c>
      <c r="B36" s="571">
        <v>24452</v>
      </c>
      <c r="C36" s="571">
        <v>44745</v>
      </c>
      <c r="D36" s="571">
        <v>69197</v>
      </c>
      <c r="E36" s="571">
        <v>37536</v>
      </c>
      <c r="F36" s="571">
        <v>25632</v>
      </c>
      <c r="G36" s="571">
        <v>11904</v>
      </c>
      <c r="H36" s="571">
        <v>2615185</v>
      </c>
      <c r="I36" s="571">
        <v>85.940000000000012</v>
      </c>
      <c r="J36" s="571">
        <v>47.83</v>
      </c>
      <c r="K36" s="571">
        <v>2477276</v>
      </c>
      <c r="L36" s="571">
        <v>90.994000000000014</v>
      </c>
      <c r="M36" s="571">
        <v>50.529000000000003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249977111117893"/>
    <pageSetUpPr fitToPage="1"/>
  </sheetPr>
  <dimension ref="A1:K49"/>
  <sheetViews>
    <sheetView showGridLines="0" workbookViewId="0">
      <pane ySplit="2" topLeftCell="A3" activePane="bottomLeft" state="frozen"/>
      <selection sqref="A1:C1"/>
      <selection pane="bottomLeft" sqref="A1:C1"/>
    </sheetView>
  </sheetViews>
  <sheetFormatPr defaultRowHeight="15" x14ac:dyDescent="0.25"/>
  <cols>
    <col min="1" max="1" width="12.85546875" customWidth="1"/>
    <col min="2" max="2" width="22.28515625" customWidth="1"/>
    <col min="3" max="3" width="13" customWidth="1"/>
    <col min="4" max="6" width="11" customWidth="1"/>
    <col min="7" max="7" width="14.140625" customWidth="1"/>
  </cols>
  <sheetData>
    <row r="1" spans="1:7" ht="15.75" x14ac:dyDescent="0.25">
      <c r="A1" s="822" t="s">
        <v>626</v>
      </c>
    </row>
    <row r="2" spans="1:7" x14ac:dyDescent="0.25">
      <c r="A2" s="790" t="s">
        <v>598</v>
      </c>
    </row>
    <row r="3" spans="1:7" x14ac:dyDescent="0.25">
      <c r="A3" s="31"/>
    </row>
    <row r="4" spans="1:7" ht="15.75" x14ac:dyDescent="0.25">
      <c r="A4" s="666" t="s">
        <v>723</v>
      </c>
      <c r="B4" s="802"/>
    </row>
    <row r="5" spans="1:7" x14ac:dyDescent="0.25">
      <c r="A5" t="s">
        <v>368</v>
      </c>
      <c r="B5" t="s">
        <v>814</v>
      </c>
    </row>
    <row r="6" spans="1:7" x14ac:dyDescent="0.25">
      <c r="A6" t="s">
        <v>369</v>
      </c>
      <c r="B6" t="s">
        <v>371</v>
      </c>
    </row>
    <row r="7" spans="1:7" x14ac:dyDescent="0.25">
      <c r="A7" t="s">
        <v>370</v>
      </c>
      <c r="B7" t="s">
        <v>627</v>
      </c>
    </row>
    <row r="9" spans="1:7" x14ac:dyDescent="0.25">
      <c r="B9" s="28"/>
      <c r="C9" s="305"/>
      <c r="D9" s="305"/>
      <c r="E9" s="307" t="s">
        <v>645</v>
      </c>
      <c r="F9" s="307"/>
      <c r="G9" s="893" t="s">
        <v>6</v>
      </c>
    </row>
    <row r="10" spans="1:7" ht="39" x14ac:dyDescent="0.25">
      <c r="A10" s="97" t="s">
        <v>534</v>
      </c>
      <c r="B10" s="81" t="s">
        <v>123</v>
      </c>
      <c r="C10" s="280" t="s">
        <v>130</v>
      </c>
      <c r="D10" s="212" t="s">
        <v>135</v>
      </c>
      <c r="E10" s="884" t="s">
        <v>647</v>
      </c>
      <c r="F10" s="900" t="s">
        <v>646</v>
      </c>
      <c r="G10" s="894" t="s">
        <v>500</v>
      </c>
    </row>
    <row r="11" spans="1:7" ht="21" customHeight="1" x14ac:dyDescent="0.25">
      <c r="A11" t="s">
        <v>306</v>
      </c>
      <c r="B11" s="582" t="s">
        <v>31</v>
      </c>
      <c r="C11" s="470">
        <f>('h19'!B4/'h19'!K4)*100</f>
        <v>0.52887922220363248</v>
      </c>
      <c r="D11" s="470">
        <f>('h19'!C4/'h19'!K4)*100</f>
        <v>2.0225679921179336</v>
      </c>
      <c r="E11" s="898">
        <f>('h19'!D4/'h19'!K4)*100</f>
        <v>2.5514472143215663</v>
      </c>
      <c r="F11" s="901">
        <f>'h19'!M4</f>
        <v>0.76600000000000001</v>
      </c>
      <c r="G11" s="895">
        <f>'h19'!K4</f>
        <v>107586</v>
      </c>
    </row>
    <row r="12" spans="1:7" x14ac:dyDescent="0.25">
      <c r="A12" t="s">
        <v>307</v>
      </c>
      <c r="B12" s="65" t="s">
        <v>32</v>
      </c>
      <c r="C12" s="471">
        <f>('h19'!B5/'h19'!K5)*100</f>
        <v>0.50739501241498441</v>
      </c>
      <c r="D12" s="471">
        <f>('h19'!C5/'h19'!K5)*100</f>
        <v>1.0849616754831048</v>
      </c>
      <c r="E12" s="899">
        <f>('h19'!D5/'h19'!K5)*100</f>
        <v>1.5923566878980893</v>
      </c>
      <c r="F12" s="901">
        <f>'h19'!M5</f>
        <v>0.85799999999999998</v>
      </c>
      <c r="G12" s="896">
        <f>'h19'!K5</f>
        <v>111156</v>
      </c>
    </row>
    <row r="13" spans="1:7" x14ac:dyDescent="0.25">
      <c r="A13" t="s">
        <v>313</v>
      </c>
      <c r="B13" s="65" t="s">
        <v>33</v>
      </c>
      <c r="C13" s="471">
        <f>('h19'!B6/'h19'!K6)*100</f>
        <v>0.79609560570071269</v>
      </c>
      <c r="D13" s="471">
        <f>('h19'!C6/'h19'!K6)*100</f>
        <v>2.4847832541567696</v>
      </c>
      <c r="E13" s="899">
        <f>('h19'!D6/'h19'!K6)*100</f>
        <v>3.2808788598574821</v>
      </c>
      <c r="F13" s="901">
        <f>'h19'!M6</f>
        <v>1.1639999999999999</v>
      </c>
      <c r="G13" s="896">
        <f>'h19'!K6</f>
        <v>53888</v>
      </c>
    </row>
    <row r="14" spans="1:7" x14ac:dyDescent="0.25">
      <c r="A14" t="s">
        <v>308</v>
      </c>
      <c r="B14" s="65" t="s">
        <v>34</v>
      </c>
      <c r="C14" s="471">
        <f>('h19'!B7/'h19'!K7)*100</f>
        <v>1.2755224597645929</v>
      </c>
      <c r="D14" s="471">
        <f>('h19'!C7/'h19'!K7)*100</f>
        <v>2.2555849147249578</v>
      </c>
      <c r="E14" s="899">
        <f>('h19'!D7/'h19'!K7)*100</f>
        <v>3.5311073744895505</v>
      </c>
      <c r="F14" s="901">
        <f>'h19'!M7</f>
        <v>1.996</v>
      </c>
      <c r="G14" s="896">
        <f>'h19'!K7</f>
        <v>41630</v>
      </c>
    </row>
    <row r="15" spans="1:7" x14ac:dyDescent="0.25">
      <c r="A15" t="s">
        <v>309</v>
      </c>
      <c r="B15" s="65" t="s">
        <v>262</v>
      </c>
      <c r="C15" s="471">
        <f>('h19'!B8/'h19'!K8)*100</f>
        <v>0.80247358665824042</v>
      </c>
      <c r="D15" s="471">
        <f>('h19'!C8/'h19'!K8)*100</f>
        <v>1.0887683387693992</v>
      </c>
      <c r="E15" s="899">
        <f>('h19'!D8/'h19'!K8)*100</f>
        <v>1.8912419254276396</v>
      </c>
      <c r="F15" s="901">
        <f>'h19'!M8</f>
        <v>1.127</v>
      </c>
      <c r="G15" s="896">
        <f>'h19'!K8</f>
        <v>235771</v>
      </c>
    </row>
    <row r="16" spans="1:7" x14ac:dyDescent="0.25">
      <c r="A16" t="s">
        <v>287</v>
      </c>
      <c r="B16" s="65" t="s">
        <v>35</v>
      </c>
      <c r="C16" s="471">
        <f>('h19'!B9/'h19'!K9)*100</f>
        <v>0.92506547267044015</v>
      </c>
      <c r="D16" s="471">
        <f>('h19'!C9/'h19'!K9)*100</f>
        <v>1.5713440905634875</v>
      </c>
      <c r="E16" s="899">
        <f>('h19'!D9/'h19'!K9)*100</f>
        <v>2.4964095632339278</v>
      </c>
      <c r="F16" s="901">
        <f>'h19'!M9</f>
        <v>1.339</v>
      </c>
      <c r="G16" s="896">
        <f>'h19'!K9</f>
        <v>23674</v>
      </c>
    </row>
    <row r="17" spans="1:7" x14ac:dyDescent="0.25">
      <c r="A17" t="s">
        <v>288</v>
      </c>
      <c r="B17" s="65" t="s">
        <v>36</v>
      </c>
      <c r="C17" s="471">
        <f>('h19'!B10/'h19'!K10)*100</f>
        <v>1.4701233006639267</v>
      </c>
      <c r="D17" s="471">
        <f>('h19'!C10/'h19'!K10)*100</f>
        <v>1.0433133101485932</v>
      </c>
      <c r="E17" s="899">
        <f>('h19'!D10/'h19'!K10)*100</f>
        <v>2.5134366108125197</v>
      </c>
      <c r="F17" s="901">
        <f>'h19'!M10</f>
        <v>2.2229999999999999</v>
      </c>
      <c r="G17" s="896">
        <f>'h19'!K10</f>
        <v>69586</v>
      </c>
    </row>
    <row r="18" spans="1:7" x14ac:dyDescent="0.25">
      <c r="A18" t="s">
        <v>314</v>
      </c>
      <c r="B18" s="65" t="s">
        <v>37</v>
      </c>
      <c r="C18" s="471">
        <f>('h19'!B11/'h19'!K11)*100</f>
        <v>0.98383496594964237</v>
      </c>
      <c r="D18" s="471">
        <f>('h19'!C11/'h19'!K11)*100</f>
        <v>3.8415058930577075</v>
      </c>
      <c r="E18" s="899">
        <f>('h19'!D11/'h19'!K11)*100</f>
        <v>4.8253408590073503</v>
      </c>
      <c r="F18" s="901">
        <f>'h19'!M11</f>
        <v>1.419</v>
      </c>
      <c r="G18" s="896">
        <f>'h19'!K11</f>
        <v>70337</v>
      </c>
    </row>
    <row r="19" spans="1:7" x14ac:dyDescent="0.25">
      <c r="A19" t="s">
        <v>289</v>
      </c>
      <c r="B19" s="65" t="s">
        <v>38</v>
      </c>
      <c r="C19" s="471">
        <f>('h19'!B12/'h19'!K12)*100</f>
        <v>0.76396827989184679</v>
      </c>
      <c r="D19" s="471">
        <f>('h19'!C12/'h19'!K12)*100</f>
        <v>1.1904113814941841</v>
      </c>
      <c r="E19" s="899">
        <f>('h19'!D12/'h19'!K12)*100</f>
        <v>1.9543796613860309</v>
      </c>
      <c r="F19" s="901">
        <f>'h19'!M12</f>
        <v>1.2649999999999999</v>
      </c>
      <c r="G19" s="896">
        <f>'h19'!K12</f>
        <v>55107</v>
      </c>
    </row>
    <row r="20" spans="1:7" x14ac:dyDescent="0.25">
      <c r="A20" t="s">
        <v>316</v>
      </c>
      <c r="B20" s="65" t="s">
        <v>39</v>
      </c>
      <c r="C20" s="471">
        <f>('h19'!B13/'h19'!K13)*100</f>
        <v>1.4188557894965561</v>
      </c>
      <c r="D20" s="471">
        <f>('h19'!C13/'h19'!K13)*100</f>
        <v>1.2580666188644809</v>
      </c>
      <c r="E20" s="899">
        <f>('h19'!D13/'h19'!K13)*100</f>
        <v>2.6769224083610368</v>
      </c>
      <c r="F20" s="901">
        <f>'h19'!M13</f>
        <v>2.2599999999999998</v>
      </c>
      <c r="G20" s="896">
        <f>'h19'!K13</f>
        <v>46023</v>
      </c>
    </row>
    <row r="21" spans="1:7" x14ac:dyDescent="0.25">
      <c r="A21" t="s">
        <v>290</v>
      </c>
      <c r="B21" s="65" t="s">
        <v>40</v>
      </c>
      <c r="C21" s="471">
        <f>('h19'!B14/'h19'!K14)*100</f>
        <v>0.95704187058183798</v>
      </c>
      <c r="D21" s="471">
        <f>('h19'!C14/'h19'!K14)*100</f>
        <v>1.1375747688961391</v>
      </c>
      <c r="E21" s="899">
        <f>('h19'!D14/'h19'!K14)*100</f>
        <v>2.094616639477977</v>
      </c>
      <c r="F21" s="901">
        <f>'h19'!M14</f>
        <v>1.573</v>
      </c>
      <c r="G21" s="896">
        <f>'h19'!K14</f>
        <v>45975</v>
      </c>
    </row>
    <row r="22" spans="1:7" x14ac:dyDescent="0.25">
      <c r="A22" t="s">
        <v>291</v>
      </c>
      <c r="B22" s="65" t="s">
        <v>41</v>
      </c>
      <c r="C22" s="471">
        <f>('h19'!B15/'h19'!K15)*100</f>
        <v>1.1378746036616549</v>
      </c>
      <c r="D22" s="471">
        <f>('h19'!C15/'h19'!K15)*100</f>
        <v>1.6646210494016569</v>
      </c>
      <c r="E22" s="899">
        <f>('h19'!D15/'h19'!K15)*100</f>
        <v>2.8024956530633118</v>
      </c>
      <c r="F22" s="901">
        <f>'h19'!M15</f>
        <v>1.754</v>
      </c>
      <c r="G22" s="896">
        <f>'h19'!K15</f>
        <v>39108</v>
      </c>
    </row>
    <row r="23" spans="1:7" x14ac:dyDescent="0.25">
      <c r="A23" t="s">
        <v>293</v>
      </c>
      <c r="B23" s="65" t="s">
        <v>42</v>
      </c>
      <c r="C23" s="471">
        <f>('h19'!B16/'h19'!K16)*100</f>
        <v>0.73754272351142292</v>
      </c>
      <c r="D23" s="471">
        <f>('h19'!C16/'h19'!K16)*100</f>
        <v>1.834862385321101</v>
      </c>
      <c r="E23" s="899">
        <f>('h19'!D16/'h19'!K16)*100</f>
        <v>2.5724051088325237</v>
      </c>
      <c r="F23" s="901">
        <f>'h19'!M16</f>
        <v>1.1040000000000001</v>
      </c>
      <c r="G23" s="896">
        <f>'h19'!K16</f>
        <v>72267</v>
      </c>
    </row>
    <row r="24" spans="1:7" x14ac:dyDescent="0.25">
      <c r="A24" t="s">
        <v>441</v>
      </c>
      <c r="B24" s="65" t="s">
        <v>43</v>
      </c>
      <c r="C24" s="471">
        <f>('h19'!B17/'h19'!K17)*100</f>
        <v>1.6541228028390416</v>
      </c>
      <c r="D24" s="471">
        <f>('h19'!C17/'h19'!K17)*100</f>
        <v>2.0417520125756203</v>
      </c>
      <c r="E24" s="899">
        <f>('h19'!D17/'h19'!K17)*100</f>
        <v>3.6958748154146619</v>
      </c>
      <c r="F24" s="901">
        <f>'h19'!M17</f>
        <v>2.6219999999999999</v>
      </c>
      <c r="G24" s="896">
        <f>'h19'!K17</f>
        <v>167944</v>
      </c>
    </row>
    <row r="25" spans="1:7" x14ac:dyDescent="0.25">
      <c r="A25" t="s">
        <v>317</v>
      </c>
      <c r="B25" s="65" t="s">
        <v>124</v>
      </c>
      <c r="C25" s="471">
        <f>('h19'!B18/'h19'!K18)*100</f>
        <v>1.022489995523189</v>
      </c>
      <c r="D25" s="471">
        <f>('h19'!C18/'h19'!K18)*100</f>
        <v>2.4137188630950144</v>
      </c>
      <c r="E25" s="899">
        <f>('h19'!D18/'h19'!K18)*100</f>
        <v>3.4362088586182034</v>
      </c>
      <c r="F25" s="901">
        <f>'h19'!M18</f>
        <v>1.419</v>
      </c>
      <c r="G25" s="896">
        <f>'h19'!K18</f>
        <v>292619</v>
      </c>
    </row>
    <row r="26" spans="1:7" x14ac:dyDescent="0.25">
      <c r="A26" t="s">
        <v>294</v>
      </c>
      <c r="B26" s="65" t="s">
        <v>44</v>
      </c>
      <c r="C26" s="471">
        <f>('h19'!B19/'h19'!K19)*100</f>
        <v>0.74578886460074578</v>
      </c>
      <c r="D26" s="471">
        <f>('h19'!C19/'h19'!K19)*100</f>
        <v>2.7269053435955839</v>
      </c>
      <c r="E26" s="899">
        <f>('h19'!D19/'h19'!K19)*100</f>
        <v>3.4726942081963301</v>
      </c>
      <c r="F26" s="901">
        <f>'h19'!M19</f>
        <v>1.2430000000000001</v>
      </c>
      <c r="G26" s="896">
        <f>'h19'!K19</f>
        <v>108878</v>
      </c>
    </row>
    <row r="27" spans="1:7" x14ac:dyDescent="0.25">
      <c r="A27" t="s">
        <v>295</v>
      </c>
      <c r="B27" s="65" t="s">
        <v>45</v>
      </c>
      <c r="C27" s="471">
        <f>('h19'!B20/'h19'!K20)*100</f>
        <v>1.6843783209351753</v>
      </c>
      <c r="D27" s="471">
        <f>('h19'!C20/'h19'!K20)*100</f>
        <v>2.3777895855472901</v>
      </c>
      <c r="E27" s="899">
        <f>('h19'!D20/'h19'!K20)*100</f>
        <v>4.0621679064824656</v>
      </c>
      <c r="F27" s="901">
        <f>'h19'!M20</f>
        <v>2.4790000000000001</v>
      </c>
      <c r="G27" s="896">
        <f>'h19'!K20</f>
        <v>37640</v>
      </c>
    </row>
    <row r="28" spans="1:7" x14ac:dyDescent="0.25">
      <c r="A28" t="s">
        <v>296</v>
      </c>
      <c r="B28" s="65" t="s">
        <v>46</v>
      </c>
      <c r="C28" s="471">
        <f>('h19'!B21/'h19'!K21)*100</f>
        <v>1.0071059761770871</v>
      </c>
      <c r="D28" s="471">
        <f>('h19'!C21/'h19'!K21)*100</f>
        <v>1.5490005623434384</v>
      </c>
      <c r="E28" s="899">
        <f>('h19'!D21/'h19'!K21)*100</f>
        <v>2.5561065385205253</v>
      </c>
      <c r="F28" s="901">
        <f>'h19'!M21</f>
        <v>1.585</v>
      </c>
      <c r="G28" s="896">
        <f>'h19'!K21</f>
        <v>39122</v>
      </c>
    </row>
    <row r="29" spans="1:7" x14ac:dyDescent="0.25">
      <c r="A29" t="s">
        <v>297</v>
      </c>
      <c r="B29" s="65" t="s">
        <v>47</v>
      </c>
      <c r="C29" s="471">
        <f>('h19'!B22/'h19'!K22)*100</f>
        <v>1.210227005686892</v>
      </c>
      <c r="D29" s="471">
        <f>('h19'!C22/'h19'!K22)*100</f>
        <v>2.7000986981247355</v>
      </c>
      <c r="E29" s="899">
        <f>('h19'!D22/'h19'!K22)*100</f>
        <v>3.9103257038116275</v>
      </c>
      <c r="F29" s="901">
        <f>'h19'!M22</f>
        <v>2.044</v>
      </c>
      <c r="G29" s="896">
        <f>'h19'!K22</f>
        <v>42554</v>
      </c>
    </row>
    <row r="30" spans="1:7" x14ac:dyDescent="0.25">
      <c r="A30" t="s">
        <v>292</v>
      </c>
      <c r="B30" s="65" t="s">
        <v>48</v>
      </c>
      <c r="C30" s="471">
        <f>('h19'!B23/'h19'!K23)*100</f>
        <v>0.87684960463477646</v>
      </c>
      <c r="D30" s="471">
        <f>('h19'!C23/'h19'!K23)*100</f>
        <v>2.1373209112972678</v>
      </c>
      <c r="E30" s="899">
        <f>('h19'!D23/'h19'!K23)*100</f>
        <v>3.0141705159320442</v>
      </c>
      <c r="F30" s="901">
        <f>'h19'!M23</f>
        <v>1.26</v>
      </c>
      <c r="G30" s="896">
        <f>'h19'!K23</f>
        <v>12773</v>
      </c>
    </row>
    <row r="31" spans="1:7" x14ac:dyDescent="0.25">
      <c r="A31" t="s">
        <v>298</v>
      </c>
      <c r="B31" s="65" t="s">
        <v>49</v>
      </c>
      <c r="C31" s="471">
        <f>('h19'!B24/'h19'!K24)*100</f>
        <v>1.0979901462422774</v>
      </c>
      <c r="D31" s="471">
        <f>('h19'!C24/'h19'!K24)*100</f>
        <v>1.3763979041213732</v>
      </c>
      <c r="E31" s="899">
        <f>('h19'!D24/'h19'!K24)*100</f>
        <v>2.4743880503636508</v>
      </c>
      <c r="F31" s="901">
        <f>'h19'!M24</f>
        <v>1.839</v>
      </c>
      <c r="G31" s="896">
        <f>'h19'!K24</f>
        <v>63935</v>
      </c>
    </row>
    <row r="32" spans="1:7" x14ac:dyDescent="0.25">
      <c r="A32" t="s">
        <v>315</v>
      </c>
      <c r="B32" s="65" t="s">
        <v>50</v>
      </c>
      <c r="C32" s="471">
        <f>('h19'!B25/'h19'!K25)*100</f>
        <v>0.8217787853226487</v>
      </c>
      <c r="D32" s="471">
        <f>('h19'!C25/'h19'!K25)*100</f>
        <v>1.3305303669337833</v>
      </c>
      <c r="E32" s="899">
        <f>('h19'!D25/'h19'!K25)*100</f>
        <v>2.1523091522564322</v>
      </c>
      <c r="F32" s="901">
        <f>'h19'!M25</f>
        <v>1.345</v>
      </c>
      <c r="G32" s="896">
        <f>'h19'!K25</f>
        <v>151744</v>
      </c>
    </row>
    <row r="33" spans="1:11" x14ac:dyDescent="0.25">
      <c r="A33" t="s">
        <v>299</v>
      </c>
      <c r="B33" s="65" t="s">
        <v>51</v>
      </c>
      <c r="C33" s="471">
        <f>('h19'!B26/'h19'!K26)*100</f>
        <v>0.91376356367789835</v>
      </c>
      <c r="D33" s="471">
        <f>('h19'!C26/'h19'!K26)*100</f>
        <v>1.846563868265753</v>
      </c>
      <c r="E33" s="899">
        <f>('h19'!D26/'h19'!K26)*100</f>
        <v>2.7603274319436513</v>
      </c>
      <c r="F33" s="901">
        <f>'h19'!M26</f>
        <v>1.59</v>
      </c>
      <c r="G33" s="896">
        <f>'h19'!K26</f>
        <v>10506</v>
      </c>
    </row>
    <row r="34" spans="1:11" x14ac:dyDescent="0.25">
      <c r="A34" t="s">
        <v>300</v>
      </c>
      <c r="B34" s="65" t="s">
        <v>52</v>
      </c>
      <c r="C34" s="471">
        <f>('h19'!B27/'h19'!K27)*100</f>
        <v>0.56454924042465837</v>
      </c>
      <c r="D34" s="471">
        <f>('h19'!C27/'h19'!K27)*100</f>
        <v>1.5880696815062469</v>
      </c>
      <c r="E34" s="899">
        <f>('h19'!D27/'h19'!K27)*100</f>
        <v>2.1526189219309053</v>
      </c>
      <c r="F34" s="901">
        <f>'h19'!M27</f>
        <v>0.88900000000000001</v>
      </c>
      <c r="G34" s="896">
        <f>'h19'!K27</f>
        <v>68196</v>
      </c>
    </row>
    <row r="35" spans="1:11" x14ac:dyDescent="0.25">
      <c r="A35" t="s">
        <v>310</v>
      </c>
      <c r="B35" s="65" t="s">
        <v>53</v>
      </c>
      <c r="C35" s="471">
        <f>('h19'!B28/'h19'!K28)*100</f>
        <v>0.9901451979707272</v>
      </c>
      <c r="D35" s="471">
        <f>('h19'!C28/'h19'!K28)*100</f>
        <v>1.2117324625342585</v>
      </c>
      <c r="E35" s="899">
        <f>('h19'!D28/'h19'!K28)*100</f>
        <v>2.2018776605049859</v>
      </c>
      <c r="F35" s="901">
        <f>'h19'!M28</f>
        <v>1.4930000000000001</v>
      </c>
      <c r="G35" s="896">
        <f>'h19'!K28</f>
        <v>85745</v>
      </c>
    </row>
    <row r="36" spans="1:11" x14ac:dyDescent="0.25">
      <c r="A36" t="s">
        <v>301</v>
      </c>
      <c r="B36" s="65" t="s">
        <v>54</v>
      </c>
      <c r="C36" s="471">
        <f>('h19'!B29/'h19'!K29)*100</f>
        <v>1.690772425707092</v>
      </c>
      <c r="D36" s="471">
        <f>('h19'!C29/'h19'!K29)*100</f>
        <v>2.2182199106831089</v>
      </c>
      <c r="E36" s="899">
        <f>('h19'!D29/'h19'!K29)*100</f>
        <v>3.9089923363902011</v>
      </c>
      <c r="F36" s="901">
        <f>'h19'!M29</f>
        <v>2.597</v>
      </c>
      <c r="G36" s="896">
        <f>'h19'!K29</f>
        <v>54413</v>
      </c>
    </row>
    <row r="37" spans="1:11" x14ac:dyDescent="0.25">
      <c r="A37" t="s">
        <v>302</v>
      </c>
      <c r="B37" s="65" t="s">
        <v>55</v>
      </c>
      <c r="C37" s="471">
        <f>('h19'!B30/'h19'!K30)*100</f>
        <v>0.83782742681047762</v>
      </c>
      <c r="D37" s="471">
        <f>('h19'!C30/'h19'!K30)*100</f>
        <v>2.0127118644067794</v>
      </c>
      <c r="E37" s="899">
        <f>('h19'!D30/'h19'!K30)*100</f>
        <v>2.8505392912172574</v>
      </c>
      <c r="F37" s="901">
        <f>'h19'!M30</f>
        <v>1.5309999999999999</v>
      </c>
      <c r="G37" s="896">
        <f>'h19'!K30</f>
        <v>10384</v>
      </c>
    </row>
    <row r="38" spans="1:11" x14ac:dyDescent="0.25">
      <c r="A38" t="s">
        <v>303</v>
      </c>
      <c r="B38" s="65" t="s">
        <v>56</v>
      </c>
      <c r="C38" s="471">
        <f>('h19'!B31/'h19'!K31)*100</f>
        <v>0.83586771484860656</v>
      </c>
      <c r="D38" s="471">
        <f>('h19'!C31/'h19'!K31)*100</f>
        <v>1.3140529064095943</v>
      </c>
      <c r="E38" s="899">
        <f>('h19'!D31/'h19'!K31)*100</f>
        <v>2.1499206212582007</v>
      </c>
      <c r="F38" s="901">
        <f>'h19'!M31</f>
        <v>1.4059999999999999</v>
      </c>
      <c r="G38" s="896">
        <f>'h19'!K31</f>
        <v>52281</v>
      </c>
    </row>
    <row r="39" spans="1:11" x14ac:dyDescent="0.25">
      <c r="A39" t="s">
        <v>304</v>
      </c>
      <c r="B39" s="65" t="s">
        <v>57</v>
      </c>
      <c r="C39" s="471">
        <f>('h19'!B32/'h19'!K32)*100</f>
        <v>0.92493141688273472</v>
      </c>
      <c r="D39" s="471">
        <f>('h19'!C32/'h19'!K32)*100</f>
        <v>1.4995929480820671</v>
      </c>
      <c r="E39" s="899">
        <f>('h19'!D32/'h19'!K32)*100</f>
        <v>2.4245243649648018</v>
      </c>
      <c r="F39" s="901">
        <f>'h19'!M32</f>
        <v>1.4690000000000001</v>
      </c>
      <c r="G39" s="896">
        <f>'h19'!K32</f>
        <v>146173</v>
      </c>
    </row>
    <row r="40" spans="1:11" x14ac:dyDescent="0.25">
      <c r="A40" t="s">
        <v>305</v>
      </c>
      <c r="B40" s="65" t="s">
        <v>58</v>
      </c>
      <c r="C40" s="471">
        <f>('h19'!B33/'h19'!K33)*100</f>
        <v>0.8164300202839756</v>
      </c>
      <c r="D40" s="471">
        <f>('h19'!C33/'h19'!K33)*100</f>
        <v>1.5491886409736308</v>
      </c>
      <c r="E40" s="899">
        <f>('h19'!D33/'h19'!K33)*100</f>
        <v>2.3656186612576064</v>
      </c>
      <c r="F40" s="901">
        <f>'h19'!M33</f>
        <v>1.2909999999999999</v>
      </c>
      <c r="G40" s="896">
        <f>'h19'!K33</f>
        <v>39440</v>
      </c>
    </row>
    <row r="41" spans="1:11" x14ac:dyDescent="0.25">
      <c r="A41" t="s">
        <v>311</v>
      </c>
      <c r="B41" s="65" t="s">
        <v>59</v>
      </c>
      <c r="C41" s="471">
        <f>('h19'!B34/'h19'!K34)*100</f>
        <v>1.2970047587944389</v>
      </c>
      <c r="D41" s="471">
        <f>('h19'!C34/'h19'!K34)*100</f>
        <v>2.351404310907903</v>
      </c>
      <c r="E41" s="899">
        <f>('h19'!D34/'h19'!K34)*100</f>
        <v>3.6484090697023421</v>
      </c>
      <c r="F41" s="901">
        <f>'h19'!M34</f>
        <v>1.929</v>
      </c>
      <c r="G41" s="896">
        <f>'h19'!K34</f>
        <v>42868</v>
      </c>
    </row>
    <row r="42" spans="1:11" x14ac:dyDescent="0.25">
      <c r="A42" t="s">
        <v>312</v>
      </c>
      <c r="B42" s="65" t="s">
        <v>60</v>
      </c>
      <c r="C42" s="471">
        <f>('h19'!B35/'h19'!K35)*100</f>
        <v>1.0916834502841457</v>
      </c>
      <c r="D42" s="471">
        <f>('h19'!C35/'h19'!K35)*100</f>
        <v>1.8857516708786062</v>
      </c>
      <c r="E42" s="899">
        <f>('h19'!D35/'h19'!K35)*100</f>
        <v>2.9774351211627517</v>
      </c>
      <c r="F42" s="901">
        <f>'h19'!M35</f>
        <v>1.65</v>
      </c>
      <c r="G42" s="896">
        <f>'h19'!K35</f>
        <v>77953</v>
      </c>
    </row>
    <row r="43" spans="1:11" ht="19.5" customHeight="1" thickBot="1" x14ac:dyDescent="0.3">
      <c r="A43" s="41"/>
      <c r="B43" s="41" t="s">
        <v>840</v>
      </c>
      <c r="C43" s="902">
        <f>GETPIVOTDATA("Sum of VisitAlarmInstalled",'h19'!$A$3)/G43*100</f>
        <v>0.98705190701399437</v>
      </c>
      <c r="D43" s="902">
        <f>GETPIVOTDATA("Sum of VisitAdviceOnly",'h19'!$A$3)/G43*100</f>
        <v>1.8062177972902493</v>
      </c>
      <c r="E43" s="903">
        <f>GETPIVOTDATA("Sum of TotalVisits",'h19'!$A$3)/G43*100</f>
        <v>2.7932697043042438</v>
      </c>
      <c r="F43" s="904">
        <f>GETPIVOTDATA("Sum of TotalAlarms",'h19'!$A$3)/G43*100</f>
        <v>1.5152126771502248</v>
      </c>
      <c r="G43" s="897">
        <f>SUM(G11:G42)</f>
        <v>2477276</v>
      </c>
    </row>
    <row r="44" spans="1:11" x14ac:dyDescent="0.25">
      <c r="B44" s="13"/>
      <c r="C44" s="309"/>
      <c r="D44" s="309"/>
      <c r="E44" s="310"/>
      <c r="F44" s="310"/>
      <c r="G44" s="77"/>
    </row>
    <row r="45" spans="1:11" x14ac:dyDescent="0.25">
      <c r="A45" s="496" t="s">
        <v>8</v>
      </c>
      <c r="B45" s="499"/>
      <c r="C45" s="499"/>
      <c r="D45" s="499"/>
      <c r="E45" s="499"/>
      <c r="F45" s="499"/>
      <c r="H45" s="485"/>
      <c r="I45" s="485"/>
      <c r="J45" s="485"/>
      <c r="K45" s="485"/>
    </row>
    <row r="46" spans="1:11" ht="45" customHeight="1" x14ac:dyDescent="0.25">
      <c r="A46" s="999" t="s">
        <v>854</v>
      </c>
      <c r="B46" s="999"/>
      <c r="C46" s="999"/>
      <c r="D46" s="999"/>
      <c r="E46" s="999"/>
      <c r="F46" s="999"/>
      <c r="G46" s="999"/>
      <c r="H46" s="549"/>
      <c r="I46" s="485"/>
      <c r="J46" s="485"/>
      <c r="K46" s="485"/>
    </row>
    <row r="47" spans="1:11" x14ac:dyDescent="0.25">
      <c r="A47" s="849" t="s">
        <v>855</v>
      </c>
      <c r="B47" s="622"/>
      <c r="C47" s="622"/>
      <c r="D47" s="622"/>
      <c r="E47" s="622"/>
      <c r="F47" s="622"/>
      <c r="G47" s="622"/>
      <c r="H47" s="549"/>
      <c r="I47" s="562"/>
      <c r="J47" s="562"/>
      <c r="K47" s="562"/>
    </row>
    <row r="48" spans="1:11" x14ac:dyDescent="0.25">
      <c r="A48" s="790" t="s">
        <v>857</v>
      </c>
      <c r="B48" s="535"/>
      <c r="C48" s="968"/>
      <c r="D48" s="968"/>
      <c r="E48" s="968"/>
      <c r="F48" s="968"/>
      <c r="G48" s="537"/>
      <c r="H48" s="549"/>
      <c r="I48" s="485"/>
      <c r="J48" s="485"/>
      <c r="K48" s="485"/>
    </row>
    <row r="49" spans="1:11" ht="45" customHeight="1" x14ac:dyDescent="0.25">
      <c r="A49" s="999" t="s">
        <v>856</v>
      </c>
      <c r="B49" s="999"/>
      <c r="C49" s="999"/>
      <c r="D49" s="999"/>
      <c r="E49" s="999"/>
      <c r="F49" s="999"/>
      <c r="G49" s="999"/>
      <c r="H49" s="999"/>
      <c r="I49" s="485"/>
      <c r="J49" s="485"/>
      <c r="K49" s="485"/>
    </row>
  </sheetData>
  <sheetProtection algorithmName="SHA-512" hashValue="ZqdjfzqnSYwLJw3L7af3JrVGlHbVociu/y5k9NahxJOdzCoXt9WwKeRIPVS1eL7LYrvc7nYc0Ja3h5Ji9odjTQ==" saltValue="SLBcjmKfhaWajdtecNWY1Q==" spinCount="100000" sheet="1" scenarios="1" pivotTables="0"/>
  <mergeCells count="2">
    <mergeCell ref="A46:G46"/>
    <mergeCell ref="A49:H49"/>
  </mergeCells>
  <hyperlinks>
    <hyperlink ref="A2" location="'Table of Contents'!A1" display="Back to Table of Contents"/>
    <hyperlink ref="A47:G47" r:id="rId1" display="https://www.nrscotland.gov.uk/statistics-and-data/statistics/statistics-by-theme/households/household-estimates/2016/list-of-tables"/>
    <hyperlink ref="A48" r:id="rId2"/>
  </hyperlinks>
  <pageMargins left="0.70866141732283472" right="0.70866141732283472" top="0.74803149606299213" bottom="0.74803149606299213" header="0.31496062992125984" footer="0.31496062992125984"/>
  <pageSetup paperSize="9" orientation="portrait" r:id="rId3"/>
  <drawing r:id="rId4"/>
  <extLst>
    <ext xmlns:x14="http://schemas.microsoft.com/office/spreadsheetml/2009/9/main" uri="{A8765BA9-456A-4dab-B4F3-ACF838C121DE}">
      <x14:slicerList>
        <x14:slicer r:id="rId5"/>
      </x14:slicerList>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7" tint="-0.249977111117893"/>
    <pageSetUpPr fitToPage="1"/>
  </sheetPr>
  <dimension ref="A1:H6"/>
  <sheetViews>
    <sheetView showGridLines="0" workbookViewId="0">
      <pane ySplit="2" topLeftCell="A3" activePane="bottomLeft" state="frozen"/>
      <selection sqref="A1:C1"/>
      <selection pane="bottomLeft" sqref="A1:C1"/>
    </sheetView>
  </sheetViews>
  <sheetFormatPr defaultRowHeight="15" x14ac:dyDescent="0.25"/>
  <sheetData>
    <row r="1" spans="1:8" ht="15.75" x14ac:dyDescent="0.25">
      <c r="A1" s="822" t="s">
        <v>649</v>
      </c>
      <c r="B1" s="822"/>
      <c r="C1" s="822"/>
    </row>
    <row r="2" spans="1:8" ht="15.75" x14ac:dyDescent="0.25">
      <c r="A2" s="790" t="s">
        <v>598</v>
      </c>
      <c r="B2" s="798"/>
      <c r="C2" s="798"/>
    </row>
    <row r="4" spans="1:8" ht="15.75" x14ac:dyDescent="0.25">
      <c r="A4" s="998" t="s">
        <v>648</v>
      </c>
      <c r="B4" s="998"/>
      <c r="C4" s="998"/>
      <c r="D4" s="998"/>
      <c r="E4" s="998"/>
      <c r="F4" s="998"/>
      <c r="G4" s="998"/>
      <c r="H4" s="998"/>
    </row>
    <row r="5" spans="1:8" x14ac:dyDescent="0.25">
      <c r="A5" s="971" t="s">
        <v>826</v>
      </c>
    </row>
    <row r="6" spans="1:8" x14ac:dyDescent="0.25">
      <c r="A6" s="971" t="s">
        <v>769</v>
      </c>
    </row>
  </sheetData>
  <sheetProtection algorithmName="SHA-512" hashValue="t3cMY7E/GYQA+r7ySWh73m8eZhqJ/b9dDntbvgQFab/xX8hpBAHAllx6CiUz1rJaOKoImXKykg6Lp48zjizE+g==" saltValue="iPj9SZVk+5x1XtRwc0Tz/w==" spinCount="100000" sheet="1" scenarios="1"/>
  <mergeCells count="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7" tint="-0.249977111117893"/>
  </sheetPr>
  <dimension ref="A1:H6"/>
  <sheetViews>
    <sheetView showGridLines="0" workbookViewId="0">
      <pane ySplit="2" topLeftCell="A3" activePane="bottomLeft" state="frozen"/>
      <selection sqref="A1:C1"/>
      <selection pane="bottomLeft" sqref="A1:C1"/>
    </sheetView>
  </sheetViews>
  <sheetFormatPr defaultRowHeight="15" x14ac:dyDescent="0.25"/>
  <sheetData>
    <row r="1" spans="1:8" ht="15.75" x14ac:dyDescent="0.25">
      <c r="A1" s="822" t="s">
        <v>649</v>
      </c>
      <c r="B1" s="822"/>
      <c r="C1" s="822"/>
    </row>
    <row r="2" spans="1:8" ht="15.75" x14ac:dyDescent="0.25">
      <c r="A2" s="790" t="s">
        <v>598</v>
      </c>
      <c r="B2" s="798"/>
      <c r="C2" s="798"/>
    </row>
    <row r="4" spans="1:8" ht="15.75" x14ac:dyDescent="0.25">
      <c r="A4" s="998" t="s">
        <v>501</v>
      </c>
      <c r="B4" s="998"/>
      <c r="C4" s="998"/>
      <c r="D4" s="998"/>
      <c r="E4" s="998"/>
      <c r="F4" s="998"/>
      <c r="G4" s="998"/>
      <c r="H4" s="998"/>
    </row>
    <row r="5" spans="1:8" x14ac:dyDescent="0.25">
      <c r="A5" s="971" t="s">
        <v>826</v>
      </c>
    </row>
    <row r="6" spans="1:8" x14ac:dyDescent="0.25">
      <c r="A6" s="971" t="s">
        <v>770</v>
      </c>
    </row>
  </sheetData>
  <sheetProtection algorithmName="SHA-512" hashValue="LIfBkgz0XCKW5WHnMQwZwd+oURdsh+YNTh5UlR72lQYDDrZTlV5W7nZ3mXZ1WJnIiibs1Av8Bz6atoK89j7Y8w==" saltValue="5R5ZlWmSiom3YFmlP0Y4wQ==" spinCount="100000" sheet="1" scenarios="1"/>
  <mergeCells count="1">
    <mergeCell ref="A4:H4"/>
  </mergeCells>
  <hyperlinks>
    <hyperlink ref="A2" location="'Table of Contents'!A1" display="Back to Table of Contents"/>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7" tint="-0.249977111117893"/>
  </sheetPr>
  <dimension ref="A1:H6"/>
  <sheetViews>
    <sheetView showGridLines="0" workbookViewId="0">
      <pane ySplit="2" topLeftCell="A3" activePane="bottomLeft" state="frozen"/>
      <selection sqref="A1:C1"/>
      <selection pane="bottomLeft" sqref="A1:C1"/>
    </sheetView>
  </sheetViews>
  <sheetFormatPr defaultRowHeight="15" x14ac:dyDescent="0.25"/>
  <sheetData>
    <row r="1" spans="1:8" ht="15.75" x14ac:dyDescent="0.25">
      <c r="A1" s="822" t="s">
        <v>649</v>
      </c>
      <c r="B1" s="822"/>
      <c r="C1" s="822"/>
    </row>
    <row r="2" spans="1:8" ht="15.75" x14ac:dyDescent="0.25">
      <c r="A2" s="790" t="s">
        <v>598</v>
      </c>
      <c r="B2" s="798"/>
      <c r="C2" s="798"/>
    </row>
    <row r="4" spans="1:8" ht="15.75" x14ac:dyDescent="0.25">
      <c r="A4" s="998" t="s">
        <v>650</v>
      </c>
      <c r="B4" s="998"/>
      <c r="C4" s="998"/>
      <c r="D4" s="998"/>
      <c r="E4" s="998"/>
      <c r="F4" s="998"/>
      <c r="G4" s="998"/>
      <c r="H4" s="998"/>
    </row>
    <row r="5" spans="1:8" x14ac:dyDescent="0.25">
      <c r="A5" s="971" t="s">
        <v>826</v>
      </c>
    </row>
    <row r="6" spans="1:8" x14ac:dyDescent="0.25">
      <c r="A6" s="971" t="s">
        <v>772</v>
      </c>
    </row>
  </sheetData>
  <sheetProtection algorithmName="SHA-512" hashValue="ll54pmR4TT46VPRTra2V2AuiYgLDQkEj9BnEIcV3Cf/HIGG00LRV/yrgJaiyc3LupLYAvTAfPHcjH6xz/zwrXA==" saltValue="3PfeY4N8/PHn7Vx9HsbdYA==" spinCount="100000" sheet="1" scenarios="1"/>
  <mergeCells count="1">
    <mergeCell ref="A4:H4"/>
  </mergeCells>
  <hyperlinks>
    <hyperlink ref="A2" location="'Table of Contents'!A1" display="Back to Table of Contents"/>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7" tint="-0.249977111117893"/>
  </sheetPr>
  <dimension ref="A1:H6"/>
  <sheetViews>
    <sheetView showGridLines="0" workbookViewId="0">
      <pane ySplit="2" topLeftCell="A3" activePane="bottomLeft" state="frozen"/>
      <selection sqref="A1:C1"/>
      <selection pane="bottomLeft" sqref="A1:C1"/>
    </sheetView>
  </sheetViews>
  <sheetFormatPr defaultRowHeight="15" x14ac:dyDescent="0.25"/>
  <sheetData>
    <row r="1" spans="1:8" ht="15.75" x14ac:dyDescent="0.25">
      <c r="A1" s="822" t="s">
        <v>649</v>
      </c>
      <c r="B1" s="822"/>
      <c r="C1" s="822"/>
    </row>
    <row r="2" spans="1:8" ht="15.75" x14ac:dyDescent="0.25">
      <c r="A2" s="790" t="s">
        <v>598</v>
      </c>
      <c r="B2" s="798"/>
      <c r="C2" s="798"/>
    </row>
    <row r="4" spans="1:8" ht="15.75" x14ac:dyDescent="0.25">
      <c r="A4" s="998" t="s">
        <v>651</v>
      </c>
      <c r="B4" s="998"/>
      <c r="C4" s="998"/>
      <c r="D4" s="998"/>
      <c r="E4" s="998"/>
      <c r="F4" s="998"/>
      <c r="G4" s="998"/>
      <c r="H4" s="998"/>
    </row>
    <row r="5" spans="1:8" x14ac:dyDescent="0.25">
      <c r="A5" s="971" t="s">
        <v>826</v>
      </c>
    </row>
    <row r="6" spans="1:8" x14ac:dyDescent="0.25">
      <c r="A6" s="971" t="s">
        <v>771</v>
      </c>
    </row>
  </sheetData>
  <sheetProtection algorithmName="SHA-512" hashValue="owYgLSEHqxN63wqDlhoJByjPbv8QZr8UmzdnUCGlXxaSLBZqYr11rwdZbTwLlywCIYMgbW6abhBcLmRRyDprig==" saltValue="ZtAPH+uUfOReZZoHDgHOCw==" spinCount="100000" sheet="1" scenarios="1"/>
  <mergeCells count="1">
    <mergeCell ref="A4:H4"/>
  </mergeCells>
  <hyperlinks>
    <hyperlink ref="A2" location="'Table of Contents'!A1" display="Back to Table of Contents"/>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7" tint="-0.249977111117893"/>
  </sheetPr>
  <dimension ref="A1:H34"/>
  <sheetViews>
    <sheetView showGridLines="0" workbookViewId="0">
      <pane ySplit="2" topLeftCell="A3" activePane="bottomLeft" state="frozen"/>
      <selection sqref="A1:C1"/>
      <selection pane="bottomLeft" sqref="A1:C1"/>
    </sheetView>
  </sheetViews>
  <sheetFormatPr defaultRowHeight="15" x14ac:dyDescent="0.25"/>
  <sheetData>
    <row r="1" spans="1:8" ht="15.75" x14ac:dyDescent="0.25">
      <c r="A1" s="822" t="s">
        <v>649</v>
      </c>
      <c r="B1" s="822"/>
      <c r="C1" s="822"/>
    </row>
    <row r="2" spans="1:8" ht="15.75" x14ac:dyDescent="0.25">
      <c r="A2" s="790" t="s">
        <v>598</v>
      </c>
      <c r="B2" s="798"/>
      <c r="C2" s="798"/>
    </row>
    <row r="4" spans="1:8" ht="15.75" x14ac:dyDescent="0.25">
      <c r="A4" s="998" t="s">
        <v>652</v>
      </c>
      <c r="B4" s="998"/>
      <c r="C4" s="998"/>
      <c r="D4" s="998"/>
      <c r="E4" s="998"/>
      <c r="F4" s="998"/>
      <c r="G4" s="998"/>
      <c r="H4" s="998"/>
    </row>
    <row r="5" spans="1:8" x14ac:dyDescent="0.25">
      <c r="A5" s="971" t="s">
        <v>826</v>
      </c>
    </row>
    <row r="6" spans="1:8" x14ac:dyDescent="0.25">
      <c r="A6" s="971" t="s">
        <v>773</v>
      </c>
    </row>
    <row r="32" spans="1:1" x14ac:dyDescent="0.25">
      <c r="A32" s="438"/>
    </row>
    <row r="33" spans="1:1" x14ac:dyDescent="0.25">
      <c r="A33" s="438" t="s">
        <v>8</v>
      </c>
    </row>
    <row r="34" spans="1:1" x14ac:dyDescent="0.25">
      <c r="A34" t="s">
        <v>1061</v>
      </c>
    </row>
  </sheetData>
  <sheetProtection algorithmName="SHA-512" hashValue="sVdZJdpVRpuvq+YJK0BdR5qXGB15EWgdoXADUF84Z784IXgMW4rjakScWWkQ+ZsbrlPlaMqcUIOjM1ghGWkghg==" saltValue="YS4y6K3MVQxf8pgz57YXnA==" spinCount="100000" sheet="1" scenarios="1" pivotTables="0"/>
  <mergeCells count="1">
    <mergeCell ref="A4:H4"/>
  </mergeCells>
  <hyperlinks>
    <hyperlink ref="A2" location="'Table of Contents'!A1" display="Back to Table of Contents"/>
  </hyperlink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3" tint="0.39997558519241921"/>
    <pageSetUpPr fitToPage="1"/>
  </sheetPr>
  <dimension ref="A1:K50"/>
  <sheetViews>
    <sheetView showGridLines="0" workbookViewId="0">
      <pane ySplit="2" topLeftCell="A3" activePane="bottomLeft" state="frozen"/>
      <selection sqref="A1:C1"/>
      <selection pane="bottomLeft" sqref="A1:C1"/>
    </sheetView>
  </sheetViews>
  <sheetFormatPr defaultRowHeight="15" x14ac:dyDescent="0.25"/>
  <cols>
    <col min="1" max="1" width="33" customWidth="1"/>
    <col min="2" max="5" width="14.5703125" customWidth="1"/>
    <col min="6" max="8" width="8.42578125" customWidth="1"/>
  </cols>
  <sheetData>
    <row r="1" spans="1:11" ht="15.75" x14ac:dyDescent="0.25">
      <c r="A1" s="822" t="s">
        <v>655</v>
      </c>
    </row>
    <row r="2" spans="1:11" x14ac:dyDescent="0.25">
      <c r="A2" s="790" t="s">
        <v>598</v>
      </c>
    </row>
    <row r="3" spans="1:11" x14ac:dyDescent="0.25">
      <c r="A3" s="31"/>
    </row>
    <row r="4" spans="1:11" ht="15.75" x14ac:dyDescent="0.25">
      <c r="A4" s="1024" t="s">
        <v>653</v>
      </c>
      <c r="B4" s="1024"/>
      <c r="C4" s="1024"/>
      <c r="D4" s="1024"/>
      <c r="E4" s="1024"/>
      <c r="F4" s="1024"/>
      <c r="G4" s="1024"/>
      <c r="H4" s="1024"/>
      <c r="I4" s="1024"/>
      <c r="J4" s="1024"/>
      <c r="K4" s="1024"/>
    </row>
    <row r="5" spans="1:11" ht="15.75" x14ac:dyDescent="0.25">
      <c r="A5" t="s">
        <v>559</v>
      </c>
      <c r="B5" s="802"/>
      <c r="C5" s="802"/>
      <c r="D5" s="802"/>
      <c r="E5" s="802"/>
      <c r="F5" s="802"/>
      <c r="G5" s="802"/>
      <c r="H5" s="802"/>
      <c r="I5" s="802"/>
      <c r="J5" s="802"/>
      <c r="K5" s="802"/>
    </row>
    <row r="6" spans="1:11" ht="15.75" x14ac:dyDescent="0.25">
      <c r="A6" t="s">
        <v>368</v>
      </c>
      <c r="B6" t="s">
        <v>815</v>
      </c>
      <c r="C6" s="802"/>
      <c r="D6" s="802"/>
      <c r="E6" s="802"/>
      <c r="F6" s="802"/>
      <c r="G6" s="802"/>
      <c r="H6" s="802"/>
      <c r="I6" s="802"/>
      <c r="J6" s="802"/>
      <c r="K6" s="802"/>
    </row>
    <row r="7" spans="1:11" ht="15.75" customHeight="1" x14ac:dyDescent="0.25">
      <c r="A7" t="s">
        <v>369</v>
      </c>
      <c r="B7" t="s">
        <v>371</v>
      </c>
      <c r="C7" s="802"/>
      <c r="D7" s="802"/>
      <c r="E7" s="802"/>
      <c r="F7" s="802"/>
      <c r="G7" s="802"/>
      <c r="H7" s="802"/>
      <c r="I7" s="802"/>
      <c r="J7" s="802"/>
      <c r="K7" s="802"/>
    </row>
    <row r="8" spans="1:11" ht="15.75" x14ac:dyDescent="0.25">
      <c r="A8" t="s">
        <v>370</v>
      </c>
      <c r="B8" t="s">
        <v>372</v>
      </c>
      <c r="C8" s="802"/>
      <c r="D8" s="802"/>
      <c r="E8" s="802"/>
      <c r="F8" s="802"/>
      <c r="G8" s="802"/>
      <c r="H8" s="802"/>
      <c r="I8" s="802"/>
      <c r="J8" s="802"/>
      <c r="K8" s="802"/>
    </row>
    <row r="9" spans="1:11" ht="15.75" x14ac:dyDescent="0.25">
      <c r="B9" s="420"/>
      <c r="C9" s="802"/>
      <c r="D9" s="802"/>
      <c r="E9" s="802"/>
      <c r="F9" s="802"/>
      <c r="G9" s="802"/>
      <c r="H9" s="802"/>
      <c r="I9" s="802"/>
      <c r="J9" s="802"/>
      <c r="K9" s="802"/>
    </row>
    <row r="10" spans="1:11" x14ac:dyDescent="0.25">
      <c r="A10" s="127" t="s">
        <v>1</v>
      </c>
      <c r="B10" s="644" t="s">
        <v>170</v>
      </c>
      <c r="C10" s="39" t="s">
        <v>656</v>
      </c>
      <c r="D10" s="908" t="s">
        <v>195</v>
      </c>
      <c r="E10" s="39" t="s">
        <v>26</v>
      </c>
      <c r="G10" s="28"/>
    </row>
    <row r="11" spans="1:11" x14ac:dyDescent="0.25">
      <c r="A11" s="5" t="str">
        <f>'T20'!$A$5</f>
        <v>2014-15</v>
      </c>
      <c r="B11" s="85">
        <f>'T20'!$C$5</f>
        <v>8206</v>
      </c>
      <c r="C11" s="129">
        <f>'T20'!$E$5</f>
        <v>1648</v>
      </c>
      <c r="D11" s="129">
        <f>'T20'!$D$5</f>
        <v>2038</v>
      </c>
      <c r="E11" s="77">
        <f>'T20'!$B$5</f>
        <v>11892</v>
      </c>
      <c r="G11" s="43"/>
    </row>
    <row r="12" spans="1:11" x14ac:dyDescent="0.25">
      <c r="A12" s="5" t="str">
        <f>'T20'!$A$6</f>
        <v>2015-16</v>
      </c>
      <c r="B12" s="85">
        <f>'T20'!$C$6</f>
        <v>9834</v>
      </c>
      <c r="C12" s="129">
        <f>'T20'!$E$6</f>
        <v>2373</v>
      </c>
      <c r="D12" s="129">
        <f>'T20'!$D$6</f>
        <v>3501</v>
      </c>
      <c r="E12" s="77">
        <f>'T20'!$B$6</f>
        <v>15708</v>
      </c>
      <c r="G12" s="28"/>
    </row>
    <row r="13" spans="1:11" x14ac:dyDescent="0.25">
      <c r="A13" s="5" t="str">
        <f>'T20'!$A$7</f>
        <v>2016-17</v>
      </c>
      <c r="B13" s="85">
        <f>'T20'!$C$7</f>
        <v>8939</v>
      </c>
      <c r="C13" s="129">
        <f>'T20'!$E$7</f>
        <v>1461</v>
      </c>
      <c r="D13" s="129">
        <f>'T20'!$D$7</f>
        <v>2582</v>
      </c>
      <c r="E13" s="77">
        <f>'T20'!$B$7</f>
        <v>12982</v>
      </c>
      <c r="G13" s="85"/>
    </row>
    <row r="14" spans="1:11" x14ac:dyDescent="0.25">
      <c r="A14" s="5" t="str">
        <f>'T20'!$A$8</f>
        <v>2017-18</v>
      </c>
      <c r="B14" s="85">
        <f>'T20'!$C$8</f>
        <v>7635</v>
      </c>
      <c r="C14" s="129">
        <f>'T20'!$E$8</f>
        <v>2592</v>
      </c>
      <c r="D14" s="129">
        <f>'T20'!$D$8</f>
        <v>3241</v>
      </c>
      <c r="E14" s="77">
        <f>'T20'!$B$8</f>
        <v>13468</v>
      </c>
      <c r="G14" s="85"/>
    </row>
    <row r="15" spans="1:11" ht="15.75" thickBot="1" x14ac:dyDescent="0.3">
      <c r="A15" s="541" t="str">
        <f>'T20'!$A$9</f>
        <v>2018-19</v>
      </c>
      <c r="B15" s="905">
        <f>'T20'!$C$9</f>
        <v>7872</v>
      </c>
      <c r="C15" s="906">
        <f>'T20'!$E$9</f>
        <v>1973</v>
      </c>
      <c r="D15" s="906">
        <f>'T20'!$D$9</f>
        <v>2746</v>
      </c>
      <c r="E15" s="907">
        <f>'T20'!$B$9</f>
        <v>12591</v>
      </c>
      <c r="G15" s="547"/>
      <c r="J15" s="367"/>
      <c r="K15" s="367"/>
    </row>
    <row r="16" spans="1:11" x14ac:dyDescent="0.25">
      <c r="A16" s="501"/>
      <c r="B16" s="31"/>
      <c r="C16" s="301"/>
      <c r="D16" s="31"/>
      <c r="E16" s="31"/>
      <c r="F16" s="31"/>
    </row>
    <row r="17" spans="1:8" x14ac:dyDescent="0.25">
      <c r="A17" s="502" t="s">
        <v>8</v>
      </c>
      <c r="B17" s="31"/>
      <c r="C17" s="31"/>
      <c r="D17" s="31"/>
      <c r="E17" s="31"/>
    </row>
    <row r="18" spans="1:8" ht="30" customHeight="1" x14ac:dyDescent="0.25">
      <c r="A18" s="1015" t="s">
        <v>654</v>
      </c>
      <c r="B18" s="1015"/>
      <c r="C18" s="1015"/>
      <c r="D18" s="1015"/>
      <c r="E18" s="1015"/>
      <c r="F18" s="1015"/>
      <c r="G18" s="1015"/>
      <c r="H18" s="1015"/>
    </row>
    <row r="19" spans="1:8" ht="30" customHeight="1" x14ac:dyDescent="0.25">
      <c r="A19" s="1015" t="s">
        <v>243</v>
      </c>
      <c r="B19" s="1015"/>
      <c r="C19" s="1015"/>
      <c r="D19" s="1015"/>
      <c r="E19" s="1015"/>
      <c r="F19" s="1015"/>
      <c r="G19" s="1015"/>
      <c r="H19" s="1015"/>
    </row>
    <row r="20" spans="1:8" ht="30" customHeight="1" x14ac:dyDescent="0.25">
      <c r="A20" s="1022" t="s">
        <v>424</v>
      </c>
      <c r="B20" s="1022"/>
      <c r="C20" s="1022"/>
      <c r="D20" s="1022"/>
      <c r="E20" s="1022"/>
      <c r="F20" s="1022"/>
      <c r="G20" s="1022"/>
      <c r="H20" s="1022"/>
    </row>
    <row r="21" spans="1:8" x14ac:dyDescent="0.25">
      <c r="A21" s="1022" t="s">
        <v>657</v>
      </c>
      <c r="B21" s="1022"/>
      <c r="C21" s="1022"/>
      <c r="D21" s="1022"/>
      <c r="E21" s="1022"/>
      <c r="F21" s="1022"/>
      <c r="G21" s="1022"/>
      <c r="H21" s="1022"/>
    </row>
    <row r="22" spans="1:8" ht="15.75" customHeight="1" x14ac:dyDescent="0.25"/>
    <row r="24" spans="1:8" ht="15.75" customHeight="1" x14ac:dyDescent="0.25"/>
    <row r="49" spans="1:8" ht="30" customHeight="1" x14ac:dyDescent="0.25"/>
    <row r="50" spans="1:8" x14ac:dyDescent="0.25">
      <c r="A50" s="524"/>
      <c r="B50" s="485"/>
      <c r="C50" s="535"/>
      <c r="D50" s="536"/>
      <c r="E50" s="536"/>
      <c r="F50" s="536"/>
      <c r="G50" s="536"/>
      <c r="H50" s="536"/>
    </row>
  </sheetData>
  <sheetProtection algorithmName="SHA-512" hashValue="AgtgNVXvMlds5R2QEDq1XPVZ/HTq5hzf+4iO1PXV3uDdCf25Er5wh7hRUPWAApnN/GQ3WqQZQ7i93sIQ0e5L/w==" saltValue="7WWQnBqbe/qxHqW635s/Og==" spinCount="100000" sheet="1" objects="1" scenarios="1"/>
  <mergeCells count="5">
    <mergeCell ref="A4:K4"/>
    <mergeCell ref="A21:H21"/>
    <mergeCell ref="A18:H18"/>
    <mergeCell ref="A19:H19"/>
    <mergeCell ref="A20:H20"/>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1"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3" tint="0.39997558519241921"/>
  </sheetPr>
  <dimension ref="A1:M32"/>
  <sheetViews>
    <sheetView showGridLines="0" workbookViewId="0">
      <pane ySplit="2" topLeftCell="A3" activePane="bottomLeft" state="frozen"/>
      <selection sqref="A1:C1"/>
      <selection pane="bottomLeft" sqref="A1:C1"/>
    </sheetView>
  </sheetViews>
  <sheetFormatPr defaultRowHeight="15" x14ac:dyDescent="0.25"/>
  <cols>
    <col min="1" max="1" width="34.5703125" customWidth="1"/>
    <col min="2" max="11" width="10.5703125" customWidth="1"/>
  </cols>
  <sheetData>
    <row r="1" spans="1:13" ht="15.75" x14ac:dyDescent="0.25">
      <c r="A1" s="822" t="s">
        <v>655</v>
      </c>
    </row>
    <row r="2" spans="1:13" x14ac:dyDescent="0.25">
      <c r="A2" s="790" t="s">
        <v>598</v>
      </c>
    </row>
    <row r="3" spans="1:13" x14ac:dyDescent="0.25">
      <c r="A3" s="31"/>
    </row>
    <row r="4" spans="1:13" ht="15.75" x14ac:dyDescent="0.25">
      <c r="A4" s="1024" t="s">
        <v>658</v>
      </c>
      <c r="B4" s="1024"/>
      <c r="C4" s="1024"/>
      <c r="D4" s="1024"/>
      <c r="E4" s="1024"/>
      <c r="F4" s="1024"/>
      <c r="G4" s="1024"/>
      <c r="H4" s="1024"/>
      <c r="I4" s="1024"/>
      <c r="J4" s="1024"/>
      <c r="K4" s="1024"/>
    </row>
    <row r="5" spans="1:13" ht="15.75" x14ac:dyDescent="0.25">
      <c r="A5" t="s">
        <v>368</v>
      </c>
      <c r="B5" t="s">
        <v>816</v>
      </c>
      <c r="C5" s="802"/>
      <c r="D5" s="802"/>
      <c r="E5" s="802"/>
      <c r="F5" s="802"/>
      <c r="G5" s="802"/>
      <c r="H5" s="802"/>
      <c r="I5" s="802"/>
      <c r="J5" s="802"/>
      <c r="K5" s="802"/>
    </row>
    <row r="6" spans="1:13" ht="15.75" x14ac:dyDescent="0.25">
      <c r="A6" t="s">
        <v>369</v>
      </c>
      <c r="B6" t="s">
        <v>371</v>
      </c>
      <c r="C6" s="802"/>
      <c r="D6" s="802"/>
      <c r="E6" s="802"/>
      <c r="F6" s="802"/>
      <c r="G6" s="802"/>
      <c r="H6" s="802"/>
      <c r="I6" s="802"/>
      <c r="J6" s="802"/>
      <c r="K6" s="802"/>
    </row>
    <row r="7" spans="1:13" ht="15.75" x14ac:dyDescent="0.25">
      <c r="A7" t="s">
        <v>370</v>
      </c>
      <c r="B7" t="s">
        <v>372</v>
      </c>
      <c r="C7" s="802"/>
      <c r="D7" s="802"/>
      <c r="E7" s="802"/>
      <c r="F7" s="802"/>
      <c r="G7" s="802"/>
      <c r="H7" s="802"/>
      <c r="I7" s="802"/>
      <c r="J7" s="802"/>
      <c r="K7" s="802"/>
    </row>
    <row r="9" spans="1:13" x14ac:dyDescent="0.25">
      <c r="A9" s="318" t="s">
        <v>145</v>
      </c>
      <c r="B9" s="212" t="str">
        <f>'T20'!D15</f>
        <v>2009-10</v>
      </c>
      <c r="C9" s="212" t="str">
        <f>'T20'!E15</f>
        <v>2010-11</v>
      </c>
      <c r="D9" s="212" t="str">
        <f>'T20'!F15</f>
        <v>2011-12</v>
      </c>
      <c r="E9" s="212" t="str">
        <f>'T20'!G15</f>
        <v>2012-13</v>
      </c>
      <c r="F9" s="319" t="s">
        <v>207</v>
      </c>
      <c r="G9" s="212" t="str">
        <f>'T20'!H15</f>
        <v>2014-15</v>
      </c>
      <c r="H9" s="212" t="str">
        <f>'T20'!I15</f>
        <v>2015-16</v>
      </c>
      <c r="I9" s="212" t="str">
        <f>'T20'!J15</f>
        <v>2016-17</v>
      </c>
      <c r="J9" s="212" t="str">
        <f>'T20'!K15</f>
        <v>2017-18</v>
      </c>
      <c r="K9" s="212" t="str">
        <f>'T20'!L15</f>
        <v>2018-19</v>
      </c>
    </row>
    <row r="10" spans="1:13" x14ac:dyDescent="0.25">
      <c r="A10" s="320" t="s">
        <v>146</v>
      </c>
      <c r="B10" s="321">
        <f>'T20'!D17</f>
        <v>136</v>
      </c>
      <c r="C10" s="321">
        <f>'T20'!E17</f>
        <v>236</v>
      </c>
      <c r="D10" s="321">
        <f>'T20'!F17</f>
        <v>197</v>
      </c>
      <c r="E10" s="321">
        <f>'T20'!G17</f>
        <v>217</v>
      </c>
      <c r="F10" s="543"/>
      <c r="G10" s="592">
        <f>'T20'!H17</f>
        <v>334</v>
      </c>
      <c r="H10" s="321">
        <f>'T20'!I17</f>
        <v>451</v>
      </c>
      <c r="I10" s="321">
        <f>'T20'!J17</f>
        <v>396</v>
      </c>
      <c r="J10" s="321">
        <f>'T20'!K17</f>
        <v>367</v>
      </c>
      <c r="K10" s="321">
        <f>'T20'!L17</f>
        <v>471</v>
      </c>
      <c r="L10" s="571"/>
      <c r="M10" s="624"/>
    </row>
    <row r="11" spans="1:13" x14ac:dyDescent="0.25">
      <c r="A11" s="320" t="s">
        <v>147</v>
      </c>
      <c r="B11" s="321">
        <f>'T20'!D18</f>
        <v>972</v>
      </c>
      <c r="C11" s="321">
        <f>'T20'!E18</f>
        <v>1212</v>
      </c>
      <c r="D11" s="321">
        <f>'T20'!F18</f>
        <v>1286</v>
      </c>
      <c r="E11" s="321">
        <f>'T20'!G18</f>
        <v>1454</v>
      </c>
      <c r="F11" s="543"/>
      <c r="G11" s="592">
        <f>'T20'!H18</f>
        <v>1506</v>
      </c>
      <c r="H11" s="321">
        <f>'T20'!I18</f>
        <v>1760</v>
      </c>
      <c r="I11" s="321">
        <f>'T20'!J18</f>
        <v>1719</v>
      </c>
      <c r="J11" s="321">
        <f>'T20'!K18</f>
        <v>1653</v>
      </c>
      <c r="K11" s="321">
        <f>'T20'!L18</f>
        <v>1775</v>
      </c>
      <c r="L11" s="624"/>
      <c r="M11" s="624"/>
    </row>
    <row r="12" spans="1:13" x14ac:dyDescent="0.25">
      <c r="A12" s="320" t="s">
        <v>660</v>
      </c>
      <c r="B12" s="321">
        <f>'T20'!D19</f>
        <v>0</v>
      </c>
      <c r="C12" s="321">
        <f>'T20'!E19</f>
        <v>0</v>
      </c>
      <c r="D12" s="321">
        <f>'T20'!F19</f>
        <v>0</v>
      </c>
      <c r="E12" s="321">
        <f>'T20'!G19</f>
        <v>0</v>
      </c>
      <c r="F12" s="543"/>
      <c r="G12" s="592">
        <f>'T20'!H19</f>
        <v>1947</v>
      </c>
      <c r="H12" s="321">
        <f>'T20'!I19</f>
        <v>3062</v>
      </c>
      <c r="I12" s="321">
        <f>'T20'!J19</f>
        <v>2650</v>
      </c>
      <c r="J12" s="321">
        <f>'T20'!K19</f>
        <v>2077</v>
      </c>
      <c r="K12" s="321">
        <f>'T20'!L19</f>
        <v>1862</v>
      </c>
      <c r="L12" s="624"/>
      <c r="M12" s="624"/>
    </row>
    <row r="13" spans="1:13" x14ac:dyDescent="0.25">
      <c r="A13" s="320" t="s">
        <v>148</v>
      </c>
      <c r="B13" s="321">
        <f>'T20'!D20</f>
        <v>137</v>
      </c>
      <c r="C13" s="321">
        <f>'T20'!E20</f>
        <v>126</v>
      </c>
      <c r="D13" s="321">
        <f>'T20'!F20</f>
        <v>138</v>
      </c>
      <c r="E13" s="321">
        <f>'T20'!G20</f>
        <v>296</v>
      </c>
      <c r="F13" s="543"/>
      <c r="G13" s="592">
        <f>'T20'!H20</f>
        <v>138</v>
      </c>
      <c r="H13" s="321">
        <f>'T20'!I20</f>
        <v>119</v>
      </c>
      <c r="I13" s="321">
        <f>'T20'!J20</f>
        <v>128</v>
      </c>
      <c r="J13" s="321">
        <f>'T20'!K20</f>
        <v>104</v>
      </c>
      <c r="K13" s="321">
        <f>'T20'!L20</f>
        <v>88</v>
      </c>
      <c r="L13" s="624"/>
      <c r="M13" s="624"/>
    </row>
    <row r="14" spans="1:13" x14ac:dyDescent="0.25">
      <c r="A14" s="320" t="s">
        <v>149</v>
      </c>
      <c r="B14" s="321">
        <f>'T20'!D21</f>
        <v>1117</v>
      </c>
      <c r="C14" s="321">
        <f>'T20'!E21</f>
        <v>1077</v>
      </c>
      <c r="D14" s="321">
        <f>'T20'!F21</f>
        <v>1081</v>
      </c>
      <c r="E14" s="321">
        <f>'T20'!G21</f>
        <v>1761</v>
      </c>
      <c r="F14" s="543"/>
      <c r="G14" s="592">
        <f>'T20'!H21</f>
        <v>1109</v>
      </c>
      <c r="H14" s="321">
        <f>'T20'!I21</f>
        <v>1263</v>
      </c>
      <c r="I14" s="321">
        <f>'T20'!J21</f>
        <v>1138</v>
      </c>
      <c r="J14" s="321">
        <f>'T20'!K21</f>
        <v>1167</v>
      </c>
      <c r="K14" s="321">
        <f>'T20'!L21</f>
        <v>1030</v>
      </c>
      <c r="L14" s="624"/>
      <c r="M14" s="624"/>
    </row>
    <row r="15" spans="1:13" x14ac:dyDescent="0.25">
      <c r="A15" s="320" t="s">
        <v>150</v>
      </c>
      <c r="B15" s="321">
        <f>'T20'!D22</f>
        <v>284</v>
      </c>
      <c r="C15" s="321">
        <f>'T20'!E22</f>
        <v>395</v>
      </c>
      <c r="D15" s="321">
        <f>'T20'!F22</f>
        <v>430</v>
      </c>
      <c r="E15" s="321">
        <f>'T20'!G22</f>
        <v>415</v>
      </c>
      <c r="F15" s="543"/>
      <c r="G15" s="592">
        <f>'T20'!H22</f>
        <v>251</v>
      </c>
      <c r="H15" s="321">
        <f>'T20'!I22</f>
        <v>351</v>
      </c>
      <c r="I15" s="321">
        <f>'T20'!J22</f>
        <v>371</v>
      </c>
      <c r="J15" s="321">
        <f>'T20'!K22</f>
        <v>408</v>
      </c>
      <c r="K15" s="321">
        <f>'T20'!L22</f>
        <v>323</v>
      </c>
      <c r="L15" s="624"/>
      <c r="M15" s="624"/>
    </row>
    <row r="16" spans="1:13" x14ac:dyDescent="0.25">
      <c r="A16" s="320" t="s">
        <v>151</v>
      </c>
      <c r="B16" s="321">
        <f>'T20'!D23</f>
        <v>48</v>
      </c>
      <c r="C16" s="321">
        <f>'T20'!E23</f>
        <v>49</v>
      </c>
      <c r="D16" s="321">
        <f>'T20'!F23</f>
        <v>49</v>
      </c>
      <c r="E16" s="321">
        <f>'T20'!G23</f>
        <v>62</v>
      </c>
      <c r="F16" s="543"/>
      <c r="G16" s="592">
        <f>'T20'!H23</f>
        <v>28</v>
      </c>
      <c r="H16" s="321">
        <f>'T20'!I23</f>
        <v>36</v>
      </c>
      <c r="I16" s="321">
        <f>'T20'!J23</f>
        <v>21</v>
      </c>
      <c r="J16" s="321">
        <f>'T20'!K23</f>
        <v>37</v>
      </c>
      <c r="K16" s="321">
        <f>'T20'!L23</f>
        <v>31</v>
      </c>
      <c r="L16" s="624"/>
      <c r="M16" s="624"/>
    </row>
    <row r="17" spans="1:13" x14ac:dyDescent="0.25">
      <c r="A17" s="320" t="s">
        <v>152</v>
      </c>
      <c r="B17" s="321">
        <f>'T20'!D24</f>
        <v>68</v>
      </c>
      <c r="C17" s="321">
        <f>'T20'!E24</f>
        <v>74</v>
      </c>
      <c r="D17" s="321">
        <f>'T20'!F24</f>
        <v>77</v>
      </c>
      <c r="E17" s="321">
        <f>'T20'!G24</f>
        <v>58</v>
      </c>
      <c r="F17" s="543"/>
      <c r="G17" s="592">
        <f>'T20'!H24</f>
        <v>68</v>
      </c>
      <c r="H17" s="321">
        <f>'T20'!I24</f>
        <v>49</v>
      </c>
      <c r="I17" s="321">
        <f>'T20'!J24</f>
        <v>66</v>
      </c>
      <c r="J17" s="321">
        <f>'T20'!K24</f>
        <v>59</v>
      </c>
      <c r="K17" s="321">
        <f>'T20'!L24</f>
        <v>60</v>
      </c>
      <c r="L17" s="624"/>
      <c r="M17" s="624"/>
    </row>
    <row r="18" spans="1:13" x14ac:dyDescent="0.25">
      <c r="A18" s="320" t="s">
        <v>153</v>
      </c>
      <c r="B18" s="321">
        <f>'T20'!D25</f>
        <v>794</v>
      </c>
      <c r="C18" s="321">
        <f>'T20'!E25</f>
        <v>1016</v>
      </c>
      <c r="D18" s="321">
        <f>'T20'!F25</f>
        <v>1014</v>
      </c>
      <c r="E18" s="321">
        <f>'T20'!G25</f>
        <v>670</v>
      </c>
      <c r="F18" s="543"/>
      <c r="G18" s="592">
        <f>'T20'!H25</f>
        <v>596</v>
      </c>
      <c r="H18" s="321">
        <f>'T20'!I25</f>
        <v>494</v>
      </c>
      <c r="I18" s="321">
        <f>'T20'!J25</f>
        <v>482</v>
      </c>
      <c r="J18" s="321">
        <f>'T20'!K25</f>
        <v>332</v>
      </c>
      <c r="K18" s="321">
        <f>'T20'!L25</f>
        <v>374</v>
      </c>
      <c r="L18" s="624"/>
      <c r="M18" s="624"/>
    </row>
    <row r="19" spans="1:13" x14ac:dyDescent="0.25">
      <c r="A19" s="320" t="s">
        <v>154</v>
      </c>
      <c r="B19" s="321">
        <f>'T20'!D26</f>
        <v>433</v>
      </c>
      <c r="C19" s="321">
        <f>'T20'!E26</f>
        <v>264</v>
      </c>
      <c r="D19" s="321">
        <f>'T20'!F26</f>
        <v>291</v>
      </c>
      <c r="E19" s="321">
        <f>'T20'!G26</f>
        <v>231</v>
      </c>
      <c r="F19" s="543"/>
      <c r="G19" s="592">
        <f>'T20'!H26</f>
        <v>260</v>
      </c>
      <c r="H19" s="321">
        <f>'T20'!I26</f>
        <v>228</v>
      </c>
      <c r="I19" s="321">
        <f>'T20'!J26</f>
        <v>363</v>
      </c>
      <c r="J19" s="321">
        <f>'T20'!K26</f>
        <v>268</v>
      </c>
      <c r="K19" s="321">
        <f>'T20'!L26</f>
        <v>470</v>
      </c>
      <c r="L19" s="624"/>
      <c r="M19" s="624"/>
    </row>
    <row r="20" spans="1:13" x14ac:dyDescent="0.25">
      <c r="A20" s="320" t="s">
        <v>155</v>
      </c>
      <c r="B20" s="321">
        <f>'T20'!D27</f>
        <v>1038</v>
      </c>
      <c r="C20" s="321">
        <f>'T20'!E27</f>
        <v>1082</v>
      </c>
      <c r="D20" s="321">
        <f>'T20'!F27</f>
        <v>1619</v>
      </c>
      <c r="E20" s="321">
        <f>'T20'!G27</f>
        <v>1294</v>
      </c>
      <c r="F20" s="543"/>
      <c r="G20" s="592">
        <f>'T20'!H27</f>
        <v>683</v>
      </c>
      <c r="H20" s="321">
        <f>'T20'!I27</f>
        <v>639</v>
      </c>
      <c r="I20" s="321">
        <f>'T20'!J27</f>
        <v>523</v>
      </c>
      <c r="J20" s="321">
        <f>'T20'!K27</f>
        <v>362</v>
      </c>
      <c r="K20" s="321">
        <f>'T20'!L27</f>
        <v>382</v>
      </c>
      <c r="L20" s="624"/>
      <c r="M20" s="624"/>
    </row>
    <row r="21" spans="1:13" x14ac:dyDescent="0.25">
      <c r="A21" s="320" t="s">
        <v>156</v>
      </c>
      <c r="B21" s="321">
        <f>'T20'!D28</f>
        <v>287</v>
      </c>
      <c r="C21" s="321">
        <f>'T20'!E28</f>
        <v>328</v>
      </c>
      <c r="D21" s="321">
        <f>'T20'!F28</f>
        <v>260</v>
      </c>
      <c r="E21" s="321">
        <f>'T20'!G28</f>
        <v>399</v>
      </c>
      <c r="F21" s="543"/>
      <c r="G21" s="592">
        <f>'T20'!H28</f>
        <v>356</v>
      </c>
      <c r="H21" s="321">
        <f>'T20'!I28</f>
        <v>320</v>
      </c>
      <c r="I21" s="321">
        <f>'T20'!J28</f>
        <v>235</v>
      </c>
      <c r="J21" s="321">
        <f>'T20'!K28</f>
        <v>240</v>
      </c>
      <c r="K21" s="321">
        <f>'T20'!L28</f>
        <v>283</v>
      </c>
      <c r="L21" s="624"/>
      <c r="M21" s="624"/>
    </row>
    <row r="22" spans="1:13" x14ac:dyDescent="0.25">
      <c r="A22" s="320" t="s">
        <v>157</v>
      </c>
      <c r="B22" s="321">
        <f>'T20'!D29</f>
        <v>282</v>
      </c>
      <c r="C22" s="321">
        <f>'T20'!E29</f>
        <v>304</v>
      </c>
      <c r="D22" s="321">
        <f>'T20'!F29</f>
        <v>288</v>
      </c>
      <c r="E22" s="321">
        <f>'T20'!G29</f>
        <v>408</v>
      </c>
      <c r="F22" s="543"/>
      <c r="G22" s="592">
        <f>'T20'!H29</f>
        <v>412</v>
      </c>
      <c r="H22" s="321">
        <f>'T20'!I29</f>
        <v>485</v>
      </c>
      <c r="I22" s="321">
        <f>'T20'!J29</f>
        <v>329</v>
      </c>
      <c r="J22" s="321">
        <f>'T20'!K29</f>
        <v>228</v>
      </c>
      <c r="K22" s="321">
        <f>'T20'!L29</f>
        <v>267</v>
      </c>
      <c r="L22" s="624"/>
      <c r="M22" s="624"/>
    </row>
    <row r="23" spans="1:13" x14ac:dyDescent="0.25">
      <c r="A23" s="320" t="s">
        <v>158</v>
      </c>
      <c r="B23" s="321">
        <f>'T20'!D30</f>
        <v>311</v>
      </c>
      <c r="C23" s="321">
        <f>'T20'!E30</f>
        <v>405</v>
      </c>
      <c r="D23" s="321">
        <f>'T20'!F30</f>
        <v>483</v>
      </c>
      <c r="E23" s="321">
        <f>'T20'!G30</f>
        <v>389</v>
      </c>
      <c r="F23" s="543"/>
      <c r="G23" s="592">
        <f>'T20'!H30</f>
        <v>344</v>
      </c>
      <c r="H23" s="321">
        <f>'T20'!I30</f>
        <v>379</v>
      </c>
      <c r="I23" s="321">
        <f>'T20'!J30</f>
        <v>275</v>
      </c>
      <c r="J23" s="321">
        <f>'T20'!K30</f>
        <v>220</v>
      </c>
      <c r="K23" s="321">
        <f>'T20'!L30</f>
        <v>267</v>
      </c>
      <c r="L23" s="624"/>
      <c r="M23" s="624"/>
    </row>
    <row r="24" spans="1:13" x14ac:dyDescent="0.25">
      <c r="A24" s="320" t="s">
        <v>159</v>
      </c>
      <c r="B24" s="321">
        <f>'T20'!D31</f>
        <v>154</v>
      </c>
      <c r="C24" s="321">
        <f>'T20'!E31</f>
        <v>176</v>
      </c>
      <c r="D24" s="321">
        <f>'T20'!F31</f>
        <v>342</v>
      </c>
      <c r="E24" s="321">
        <f>'T20'!G31</f>
        <v>340</v>
      </c>
      <c r="F24" s="543"/>
      <c r="G24" s="592">
        <f>'T20'!H31</f>
        <v>174</v>
      </c>
      <c r="H24" s="321">
        <f>'T20'!I31</f>
        <v>198</v>
      </c>
      <c r="I24" s="321">
        <f>'T20'!J31</f>
        <v>243</v>
      </c>
      <c r="J24" s="321">
        <f>'T20'!K31</f>
        <v>113</v>
      </c>
      <c r="K24" s="321">
        <f>'T20'!L31</f>
        <v>189</v>
      </c>
      <c r="L24" s="624"/>
      <c r="M24" s="624"/>
    </row>
    <row r="25" spans="1:13" x14ac:dyDescent="0.25">
      <c r="A25" s="320"/>
      <c r="B25" s="321"/>
      <c r="C25" s="322"/>
      <c r="E25" s="321"/>
      <c r="F25" s="322"/>
      <c r="G25" s="79"/>
      <c r="H25" s="79"/>
    </row>
    <row r="26" spans="1:13" ht="15.75" thickBot="1" x14ac:dyDescent="0.3">
      <c r="A26" s="323" t="s">
        <v>160</v>
      </c>
      <c r="B26" s="324">
        <f t="shared" ref="B26:K26" si="0">SUM(B10:B24,-B12)</f>
        <v>6061</v>
      </c>
      <c r="C26" s="324">
        <f t="shared" si="0"/>
        <v>6744</v>
      </c>
      <c r="D26" s="324">
        <f t="shared" si="0"/>
        <v>7555</v>
      </c>
      <c r="E26" s="324">
        <f t="shared" si="0"/>
        <v>7994</v>
      </c>
      <c r="F26" s="544">
        <f t="shared" si="0"/>
        <v>0</v>
      </c>
      <c r="G26" s="324">
        <f t="shared" si="0"/>
        <v>6259</v>
      </c>
      <c r="H26" s="324">
        <f t="shared" si="0"/>
        <v>6772</v>
      </c>
      <c r="I26" s="324">
        <f t="shared" si="0"/>
        <v>6289</v>
      </c>
      <c r="J26" s="324">
        <f t="shared" si="0"/>
        <v>5558</v>
      </c>
      <c r="K26" s="324">
        <f t="shared" si="0"/>
        <v>6010</v>
      </c>
    </row>
    <row r="27" spans="1:13" x14ac:dyDescent="0.25">
      <c r="A27" s="325"/>
      <c r="B27" s="177"/>
      <c r="C27" s="177"/>
      <c r="D27" s="177"/>
      <c r="E27" s="186"/>
      <c r="F27" s="151"/>
      <c r="G27" s="326"/>
      <c r="H27" s="326"/>
    </row>
    <row r="28" spans="1:13" ht="15.75" thickBot="1" x14ac:dyDescent="0.3">
      <c r="A28" s="323" t="s">
        <v>161</v>
      </c>
      <c r="B28" s="324">
        <f>'T20'!$D$16</f>
        <v>0</v>
      </c>
      <c r="C28" s="324">
        <f>'T20'!$E$16</f>
        <v>0</v>
      </c>
      <c r="D28" s="324">
        <f>'T20'!$E$16</f>
        <v>0</v>
      </c>
      <c r="E28" s="324">
        <f>'T20'!$F$16</f>
        <v>0</v>
      </c>
      <c r="F28" s="544"/>
      <c r="G28" s="324">
        <f>SUM(G10:G24)</f>
        <v>8206</v>
      </c>
      <c r="H28" s="324">
        <f>SUM(H10:H24)</f>
        <v>9834</v>
      </c>
      <c r="I28" s="324">
        <f>SUM(I10:I24)</f>
        <v>8939</v>
      </c>
      <c r="J28" s="324">
        <f>SUM(J10:J24)</f>
        <v>7635</v>
      </c>
      <c r="K28" s="324">
        <f>SUM(K10:K24)</f>
        <v>7872</v>
      </c>
    </row>
    <row r="29" spans="1:13" x14ac:dyDescent="0.25">
      <c r="A29" s="31"/>
      <c r="B29" s="31"/>
      <c r="C29" s="31"/>
      <c r="D29" s="31"/>
      <c r="E29" s="31"/>
      <c r="F29" s="31"/>
      <c r="G29" s="31"/>
      <c r="H29" s="31"/>
    </row>
    <row r="30" spans="1:13" x14ac:dyDescent="0.25">
      <c r="A30" s="502" t="s">
        <v>8</v>
      </c>
      <c r="B30" s="501"/>
      <c r="C30" s="501"/>
      <c r="D30" s="501"/>
      <c r="E30" s="501"/>
      <c r="F30" s="501"/>
      <c r="G30" s="501"/>
      <c r="H30" s="501"/>
    </row>
    <row r="31" spans="1:13" x14ac:dyDescent="0.25">
      <c r="A31" s="501" t="s">
        <v>221</v>
      </c>
      <c r="B31" s="501"/>
      <c r="C31" s="501"/>
      <c r="D31" s="501"/>
      <c r="E31" s="501"/>
      <c r="F31" s="501"/>
      <c r="G31" s="501"/>
      <c r="H31" s="501"/>
    </row>
    <row r="32" spans="1:13" ht="30" customHeight="1" x14ac:dyDescent="0.25">
      <c r="A32" s="1022" t="s">
        <v>424</v>
      </c>
      <c r="B32" s="1022"/>
      <c r="C32" s="1022"/>
      <c r="D32" s="1022"/>
      <c r="E32" s="1022"/>
      <c r="F32" s="1022"/>
      <c r="G32" s="1022"/>
      <c r="H32" s="1022"/>
    </row>
  </sheetData>
  <sheetProtection algorithmName="SHA-512" hashValue="ui409cfG0R9n+Qv8XgKThZU3XXqZ3hn2i0eZIulKmK7k44aZzqAXFF+t1l6NPpeFGF9Qvm2CRO2cwwuV2kr5PA==" saltValue="1oP3LQ/1Csxhv5jNsrHh2Q==" spinCount="100000" sheet="1" objects="1" scenarios="1"/>
  <mergeCells count="2">
    <mergeCell ref="A4:K4"/>
    <mergeCell ref="A32:H32"/>
  </mergeCells>
  <hyperlinks>
    <hyperlink ref="A2" location="'Table of Contents'!A1" display="Back to Table of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4" tint="0.59999389629810485"/>
  </sheetPr>
  <dimension ref="A1:H20"/>
  <sheetViews>
    <sheetView showGridLines="0" workbookViewId="0">
      <pane ySplit="2" topLeftCell="A3" activePane="bottomLeft" state="frozen"/>
      <selection sqref="A1:C1"/>
      <selection pane="bottomLeft" sqref="A1:C1"/>
    </sheetView>
  </sheetViews>
  <sheetFormatPr defaultRowHeight="15" x14ac:dyDescent="0.25"/>
  <cols>
    <col min="1" max="1" width="11" bestFit="1" customWidth="1"/>
    <col min="2" max="2" width="24" bestFit="1" customWidth="1"/>
  </cols>
  <sheetData>
    <row r="1" spans="1:8" ht="15.75" x14ac:dyDescent="0.25">
      <c r="A1" s="993" t="s">
        <v>611</v>
      </c>
      <c r="B1" s="993"/>
      <c r="C1" s="993"/>
    </row>
    <row r="2" spans="1:8" ht="15.75" x14ac:dyDescent="0.25">
      <c r="A2" s="790" t="s">
        <v>598</v>
      </c>
      <c r="B2" s="792"/>
      <c r="C2" s="792"/>
    </row>
    <row r="4" spans="1:8" ht="15.75" x14ac:dyDescent="0.25">
      <c r="A4" s="998" t="s">
        <v>614</v>
      </c>
      <c r="B4" s="998"/>
      <c r="C4" s="998"/>
      <c r="D4" s="998"/>
      <c r="E4" s="998"/>
      <c r="F4" s="998"/>
      <c r="G4" s="998"/>
      <c r="H4" s="998"/>
    </row>
    <row r="5" spans="1:8" ht="15.75" customHeight="1" x14ac:dyDescent="0.25">
      <c r="A5" s="971" t="s">
        <v>826</v>
      </c>
    </row>
    <row r="6" spans="1:8" x14ac:dyDescent="0.25">
      <c r="A6" s="971" t="s">
        <v>743</v>
      </c>
      <c r="B6" s="821" t="str">
        <f>T13cm!$E$4</f>
        <v>Wholetime</v>
      </c>
      <c r="C6" s="821">
        <f>T13cm!$E$5</f>
        <v>50</v>
      </c>
      <c r="D6" s="821"/>
      <c r="E6" s="821" t="s">
        <v>122</v>
      </c>
      <c r="F6" s="821">
        <v>74</v>
      </c>
    </row>
    <row r="7" spans="1:8" x14ac:dyDescent="0.25">
      <c r="A7" s="821"/>
      <c r="B7" s="821" t="str">
        <f>T13cm!$F$4</f>
        <v>Wholetime and Day</v>
      </c>
      <c r="C7" s="821">
        <f>T13cm!$F$5</f>
        <v>1</v>
      </c>
      <c r="D7" s="821"/>
      <c r="E7" s="821" t="s">
        <v>198</v>
      </c>
      <c r="F7" s="821">
        <v>240</v>
      </c>
    </row>
    <row r="8" spans="1:8" ht="15.75" customHeight="1" x14ac:dyDescent="0.25">
      <c r="A8" s="821"/>
      <c r="B8" s="821" t="str">
        <f>T13cm!$G$4</f>
        <v>Wholetime and Retained</v>
      </c>
      <c r="C8" s="821">
        <f>T13cm!$G$5</f>
        <v>23</v>
      </c>
      <c r="D8" s="821"/>
      <c r="E8" s="821" t="s">
        <v>29</v>
      </c>
      <c r="F8" s="821">
        <v>42</v>
      </c>
    </row>
    <row r="9" spans="1:8" x14ac:dyDescent="0.25">
      <c r="A9" s="821"/>
      <c r="B9" s="821" t="str">
        <f>T13cm!$C$4</f>
        <v>Retained</v>
      </c>
      <c r="C9" s="821">
        <f>T13cm!$C$5</f>
        <v>240</v>
      </c>
      <c r="D9" s="821"/>
      <c r="E9" s="821"/>
      <c r="F9" s="821"/>
    </row>
    <row r="10" spans="1:8" x14ac:dyDescent="0.25">
      <c r="A10" s="821"/>
      <c r="B10" s="821" t="str">
        <f>T13cm!$D$4</f>
        <v>Volunteer</v>
      </c>
      <c r="C10" s="821">
        <f>T13cm!$D$5</f>
        <v>42</v>
      </c>
      <c r="D10" s="821"/>
      <c r="E10" s="821"/>
      <c r="F10" s="821"/>
    </row>
    <row r="11" spans="1:8" x14ac:dyDescent="0.25">
      <c r="A11" s="821"/>
      <c r="B11" s="821"/>
      <c r="C11" s="821"/>
      <c r="D11" s="821"/>
      <c r="E11" s="821"/>
      <c r="F11" s="821"/>
    </row>
    <row r="12" spans="1:8" x14ac:dyDescent="0.25">
      <c r="A12" s="821"/>
      <c r="B12" s="821"/>
      <c r="C12" s="821"/>
      <c r="D12" s="821"/>
      <c r="E12" s="821"/>
      <c r="F12" s="821"/>
    </row>
    <row r="13" spans="1:8" x14ac:dyDescent="0.25">
      <c r="A13" s="821"/>
      <c r="B13" s="821" t="s">
        <v>122</v>
      </c>
      <c r="C13" s="821">
        <v>74</v>
      </c>
      <c r="D13" s="821"/>
      <c r="E13" s="821"/>
      <c r="F13" s="821"/>
    </row>
    <row r="14" spans="1:8" x14ac:dyDescent="0.25">
      <c r="A14" s="821"/>
      <c r="B14" s="821" t="s">
        <v>198</v>
      </c>
      <c r="C14" s="821">
        <v>240</v>
      </c>
      <c r="D14" s="821"/>
      <c r="E14" s="821"/>
      <c r="F14" s="821"/>
    </row>
    <row r="15" spans="1:8" x14ac:dyDescent="0.25">
      <c r="A15" s="821"/>
      <c r="B15" s="821" t="s">
        <v>29</v>
      </c>
      <c r="C15" s="821">
        <v>42</v>
      </c>
      <c r="D15" s="821"/>
      <c r="E15" s="821"/>
      <c r="F15" s="821"/>
    </row>
    <row r="16" spans="1:8" x14ac:dyDescent="0.25">
      <c r="A16" s="821"/>
      <c r="B16" s="821"/>
      <c r="C16" s="821"/>
      <c r="D16" s="821"/>
      <c r="E16" s="821"/>
      <c r="F16" s="821"/>
    </row>
    <row r="17" spans="1:6" x14ac:dyDescent="0.25">
      <c r="A17" s="821"/>
      <c r="B17" s="821"/>
      <c r="C17" s="821"/>
      <c r="D17" s="821"/>
      <c r="E17" s="821"/>
      <c r="F17" s="821"/>
    </row>
    <row r="18" spans="1:6" x14ac:dyDescent="0.25">
      <c r="A18" s="821"/>
      <c r="B18" s="821"/>
      <c r="C18" s="821"/>
      <c r="D18" s="821"/>
      <c r="E18" s="821"/>
      <c r="F18" s="821"/>
    </row>
    <row r="19" spans="1:6" x14ac:dyDescent="0.25">
      <c r="A19" s="821"/>
      <c r="B19" s="821"/>
      <c r="C19" s="821"/>
      <c r="D19" s="821"/>
      <c r="E19" s="821"/>
      <c r="F19" s="821"/>
    </row>
    <row r="20" spans="1:6" x14ac:dyDescent="0.25">
      <c r="A20" s="821"/>
      <c r="B20" s="821"/>
      <c r="C20" s="821"/>
      <c r="D20" s="821"/>
      <c r="E20" s="821"/>
      <c r="F20" s="821"/>
    </row>
  </sheetData>
  <sheetProtection algorithmName="SHA-512" hashValue="h+9VswAjNZIqYjoNU+d6pVxmcEysbJUJ4ALBcr0uQaK9XgjMMjXaS3X2okZZvPfIaVShrXYNzgSUa37AVM84ig==" saltValue="uQkXGwdeuJ8mvyFgdn6Mhg==" spinCount="100000" sheet="1" scenarios="1"/>
  <mergeCells count="2">
    <mergeCell ref="A1:C1"/>
    <mergeCell ref="A4:H4"/>
  </mergeCells>
  <hyperlinks>
    <hyperlink ref="A2" location="'Table of Contents'!A1" display="Back to Table of Contents"/>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3" tint="0.39997558519241921"/>
    <pageSetUpPr fitToPage="1"/>
  </sheetPr>
  <dimension ref="A1:S45"/>
  <sheetViews>
    <sheetView showGridLines="0" workbookViewId="0">
      <pane ySplit="2" topLeftCell="A3" activePane="bottomLeft" state="frozen"/>
      <selection sqref="A1:C1"/>
      <selection pane="bottomLeft" sqref="A1:C1"/>
    </sheetView>
  </sheetViews>
  <sheetFormatPr defaultRowHeight="15" x14ac:dyDescent="0.25"/>
  <cols>
    <col min="1" max="1" width="17" customWidth="1"/>
    <col min="2" max="2" width="21.28515625" customWidth="1"/>
    <col min="3" max="3" width="9.85546875" customWidth="1"/>
    <col min="4" max="4" width="7.5703125" bestFit="1" customWidth="1"/>
    <col min="5" max="5" width="8" customWidth="1"/>
    <col min="6" max="7" width="7.28515625" customWidth="1"/>
    <col min="8" max="8" width="10.42578125" customWidth="1"/>
    <col min="9" max="9" width="11.28515625" customWidth="1"/>
    <col min="10" max="10" width="9.42578125" customWidth="1"/>
    <col min="11" max="11" width="11" customWidth="1"/>
    <col min="12" max="12" width="8.28515625" customWidth="1"/>
    <col min="13" max="13" width="7" customWidth="1"/>
    <col min="14" max="14" width="12.7109375" customWidth="1"/>
    <col min="15" max="15" width="12.5703125" customWidth="1"/>
    <col min="16" max="16" width="7.140625" bestFit="1" customWidth="1"/>
    <col min="17" max="17" width="11.28515625" bestFit="1" customWidth="1"/>
    <col min="18" max="18" width="8.85546875" customWidth="1"/>
    <col min="19" max="19" width="15.42578125" bestFit="1" customWidth="1"/>
  </cols>
  <sheetData>
    <row r="1" spans="1:19" ht="15.75" x14ac:dyDescent="0.25">
      <c r="A1" s="822" t="s">
        <v>655</v>
      </c>
    </row>
    <row r="2" spans="1:19" x14ac:dyDescent="0.25">
      <c r="A2" s="790" t="s">
        <v>598</v>
      </c>
    </row>
    <row r="3" spans="1:19" x14ac:dyDescent="0.25">
      <c r="A3" s="31"/>
    </row>
    <row r="4" spans="1:19" ht="15.75" x14ac:dyDescent="0.25">
      <c r="A4" s="1024" t="s">
        <v>699</v>
      </c>
      <c r="B4" s="1024"/>
      <c r="C4" s="1024"/>
      <c r="D4" s="1024"/>
      <c r="E4" s="1024"/>
      <c r="F4" s="1024"/>
      <c r="G4" s="1024"/>
      <c r="H4" s="1024"/>
      <c r="I4" s="1024"/>
      <c r="J4" s="1024"/>
      <c r="K4" s="1024"/>
    </row>
    <row r="5" spans="1:19" ht="15.75" x14ac:dyDescent="0.25">
      <c r="A5" t="s">
        <v>368</v>
      </c>
      <c r="B5" t="s">
        <v>817</v>
      </c>
      <c r="C5" s="802"/>
      <c r="D5" s="802"/>
      <c r="E5" s="802"/>
      <c r="F5" s="802"/>
      <c r="G5" s="802"/>
      <c r="H5" s="802"/>
      <c r="I5" s="802"/>
      <c r="J5" s="802"/>
      <c r="K5" s="802"/>
    </row>
    <row r="6" spans="1:19" ht="15.75" x14ac:dyDescent="0.25">
      <c r="A6" t="s">
        <v>369</v>
      </c>
      <c r="B6" t="s">
        <v>371</v>
      </c>
      <c r="C6" s="802"/>
      <c r="D6" s="802"/>
      <c r="E6" s="802"/>
      <c r="F6" s="802"/>
      <c r="G6" s="802"/>
      <c r="H6" s="802"/>
      <c r="I6" s="802"/>
      <c r="J6" s="802"/>
      <c r="K6" s="802"/>
    </row>
    <row r="7" spans="1:19" ht="15.75" x14ac:dyDescent="0.25">
      <c r="A7" t="s">
        <v>370</v>
      </c>
      <c r="B7" t="s">
        <v>372</v>
      </c>
      <c r="C7" s="802"/>
      <c r="D7" s="802"/>
      <c r="E7" s="802"/>
      <c r="F7" s="802"/>
      <c r="G7" s="802"/>
      <c r="H7" s="802"/>
      <c r="I7" s="802"/>
      <c r="J7" s="802"/>
      <c r="K7" s="802"/>
    </row>
    <row r="9" spans="1:19" ht="60" x14ac:dyDescent="0.25">
      <c r="A9" s="327" t="s">
        <v>534</v>
      </c>
      <c r="B9" s="327" t="s">
        <v>123</v>
      </c>
      <c r="C9" s="328" t="s">
        <v>162</v>
      </c>
      <c r="D9" s="328" t="s">
        <v>147</v>
      </c>
      <c r="E9" s="328" t="s">
        <v>163</v>
      </c>
      <c r="F9" s="328" t="s">
        <v>148</v>
      </c>
      <c r="G9" s="328" t="s">
        <v>149</v>
      </c>
      <c r="H9" s="328" t="s">
        <v>164</v>
      </c>
      <c r="I9" s="328" t="s">
        <v>151</v>
      </c>
      <c r="J9" s="328" t="s">
        <v>152</v>
      </c>
      <c r="K9" s="328" t="s">
        <v>153</v>
      </c>
      <c r="L9" s="328" t="s">
        <v>154</v>
      </c>
      <c r="M9" s="328" t="s">
        <v>155</v>
      </c>
      <c r="N9" s="328" t="s">
        <v>659</v>
      </c>
      <c r="O9" s="328" t="s">
        <v>157</v>
      </c>
      <c r="P9" s="328" t="s">
        <v>158</v>
      </c>
      <c r="Q9" s="328" t="s">
        <v>159</v>
      </c>
      <c r="R9" s="593" t="s">
        <v>165</v>
      </c>
      <c r="S9" s="328" t="s">
        <v>160</v>
      </c>
    </row>
    <row r="10" spans="1:19" ht="21" customHeight="1" x14ac:dyDescent="0.25">
      <c r="A10" s="573" t="s">
        <v>306</v>
      </c>
      <c r="B10" s="914" t="s">
        <v>31</v>
      </c>
      <c r="C10" s="119">
        <f>h20a!B5</f>
        <v>22</v>
      </c>
      <c r="D10" s="119">
        <f>h20a!C5</f>
        <v>113</v>
      </c>
      <c r="E10" s="119">
        <f>h20a!D5</f>
        <v>136</v>
      </c>
      <c r="F10" s="119">
        <f>h20a!E5</f>
        <v>2</v>
      </c>
      <c r="G10" s="119">
        <f>h20a!F5</f>
        <v>32</v>
      </c>
      <c r="H10" s="119">
        <f>h20a!G5</f>
        <v>1</v>
      </c>
      <c r="I10" s="119">
        <f>h20a!H5</f>
        <v>5</v>
      </c>
      <c r="J10" s="119">
        <f>h20a!I5</f>
        <v>2</v>
      </c>
      <c r="K10" s="119">
        <f>h20a!J5</f>
        <v>5</v>
      </c>
      <c r="L10" s="119">
        <f>h20a!K5</f>
        <v>9</v>
      </c>
      <c r="M10" s="119">
        <f>h20a!L5</f>
        <v>10</v>
      </c>
      <c r="N10" s="119">
        <f>h20a!M5</f>
        <v>6</v>
      </c>
      <c r="O10" s="119">
        <f>h20a!N5</f>
        <v>7</v>
      </c>
      <c r="P10" s="119">
        <f>h20a!O5</f>
        <v>6</v>
      </c>
      <c r="Q10" s="119">
        <f>h20a!P5</f>
        <v>8</v>
      </c>
      <c r="R10" s="594">
        <f>h20a!Q5</f>
        <v>364</v>
      </c>
      <c r="S10" s="109">
        <f>R10-E10</f>
        <v>228</v>
      </c>
    </row>
    <row r="11" spans="1:19" x14ac:dyDescent="0.25">
      <c r="A11" s="573" t="s">
        <v>307</v>
      </c>
      <c r="B11" s="914" t="s">
        <v>32</v>
      </c>
      <c r="C11" s="119">
        <f>h20a!B6</f>
        <v>26</v>
      </c>
      <c r="D11" s="119">
        <f>h20a!C6</f>
        <v>88</v>
      </c>
      <c r="E11" s="119">
        <f>h20a!D6</f>
        <v>48</v>
      </c>
      <c r="F11" s="119">
        <f>h20a!E6</f>
        <v>7</v>
      </c>
      <c r="G11" s="119">
        <f>h20a!F6</f>
        <v>73</v>
      </c>
      <c r="H11" s="119">
        <f>h20a!G6</f>
        <v>48</v>
      </c>
      <c r="I11" s="119">
        <f>h20a!H6</f>
        <v>3</v>
      </c>
      <c r="J11" s="119">
        <f>h20a!I6</f>
        <v>3</v>
      </c>
      <c r="K11" s="119">
        <f>h20a!J6</f>
        <v>13</v>
      </c>
      <c r="L11" s="119">
        <f>h20a!K6</f>
        <v>8</v>
      </c>
      <c r="M11" s="119">
        <f>h20a!L6</f>
        <v>13</v>
      </c>
      <c r="N11" s="119">
        <f>h20a!M6</f>
        <v>4</v>
      </c>
      <c r="O11" s="119">
        <f>h20a!N6</f>
        <v>21</v>
      </c>
      <c r="P11" s="119">
        <f>h20a!O6</f>
        <v>13</v>
      </c>
      <c r="Q11" s="119">
        <f>h20a!P6</f>
        <v>5</v>
      </c>
      <c r="R11" s="594">
        <f>h20a!Q6</f>
        <v>373</v>
      </c>
      <c r="S11" s="109">
        <f t="shared" ref="S11:S41" si="0">R11-E11</f>
        <v>325</v>
      </c>
    </row>
    <row r="12" spans="1:19" x14ac:dyDescent="0.25">
      <c r="A12" s="573" t="s">
        <v>313</v>
      </c>
      <c r="B12" s="914" t="s">
        <v>33</v>
      </c>
      <c r="C12" s="119">
        <f>h20a!B7</f>
        <v>6</v>
      </c>
      <c r="D12" s="119">
        <f>h20a!C7</f>
        <v>39</v>
      </c>
      <c r="E12" s="119">
        <f>h20a!D7</f>
        <v>6</v>
      </c>
      <c r="F12" s="119">
        <f>h20a!E7</f>
        <v>0</v>
      </c>
      <c r="G12" s="119">
        <f>h20a!F7</f>
        <v>14</v>
      </c>
      <c r="H12" s="119">
        <f>h20a!G7</f>
        <v>6</v>
      </c>
      <c r="I12" s="119">
        <f>h20a!H7</f>
        <v>1</v>
      </c>
      <c r="J12" s="119">
        <f>h20a!I7</f>
        <v>5</v>
      </c>
      <c r="K12" s="119">
        <f>h20a!J7</f>
        <v>17</v>
      </c>
      <c r="L12" s="119">
        <f>h20a!K7</f>
        <v>4</v>
      </c>
      <c r="M12" s="119">
        <f>h20a!L7</f>
        <v>3</v>
      </c>
      <c r="N12" s="119">
        <f>h20a!M7</f>
        <v>13</v>
      </c>
      <c r="O12" s="119">
        <f>h20a!N7</f>
        <v>2</v>
      </c>
      <c r="P12" s="119">
        <f>h20a!O7</f>
        <v>3</v>
      </c>
      <c r="Q12" s="119">
        <f>h20a!P7</f>
        <v>7</v>
      </c>
      <c r="R12" s="594">
        <f>h20a!Q7</f>
        <v>126</v>
      </c>
      <c r="S12" s="109">
        <f t="shared" si="0"/>
        <v>120</v>
      </c>
    </row>
    <row r="13" spans="1:19" x14ac:dyDescent="0.25">
      <c r="A13" s="573" t="s">
        <v>308</v>
      </c>
      <c r="B13" s="914" t="s">
        <v>34</v>
      </c>
      <c r="C13" s="119">
        <f>h20a!B8</f>
        <v>3</v>
      </c>
      <c r="D13" s="119">
        <f>h20a!C8</f>
        <v>35</v>
      </c>
      <c r="E13" s="119">
        <f>h20a!D8</f>
        <v>34</v>
      </c>
      <c r="F13" s="119">
        <f>h20a!E8</f>
        <v>4</v>
      </c>
      <c r="G13" s="119">
        <f>h20a!F8</f>
        <v>60</v>
      </c>
      <c r="H13" s="119">
        <f>h20a!G8</f>
        <v>40</v>
      </c>
      <c r="I13" s="119">
        <f>h20a!H8</f>
        <v>1</v>
      </c>
      <c r="J13" s="119">
        <f>h20a!I8</f>
        <v>0</v>
      </c>
      <c r="K13" s="119">
        <f>h20a!J8</f>
        <v>5</v>
      </c>
      <c r="L13" s="119">
        <f>h20a!K8</f>
        <v>2</v>
      </c>
      <c r="M13" s="119">
        <f>h20a!L8</f>
        <v>12</v>
      </c>
      <c r="N13" s="119">
        <f>h20a!M8</f>
        <v>5</v>
      </c>
      <c r="O13" s="119">
        <f>h20a!N8</f>
        <v>8</v>
      </c>
      <c r="P13" s="119">
        <f>h20a!O8</f>
        <v>5</v>
      </c>
      <c r="Q13" s="119">
        <f>h20a!P8</f>
        <v>6</v>
      </c>
      <c r="R13" s="594">
        <f>h20a!Q8</f>
        <v>220</v>
      </c>
      <c r="S13" s="109">
        <f t="shared" si="0"/>
        <v>186</v>
      </c>
    </row>
    <row r="14" spans="1:19" x14ac:dyDescent="0.25">
      <c r="A14" s="573" t="s">
        <v>309</v>
      </c>
      <c r="B14" s="914" t="s">
        <v>262</v>
      </c>
      <c r="C14" s="119">
        <f>h20a!B9</f>
        <v>66</v>
      </c>
      <c r="D14" s="119">
        <f>h20a!C9</f>
        <v>120</v>
      </c>
      <c r="E14" s="119">
        <f>h20a!D9</f>
        <v>142</v>
      </c>
      <c r="F14" s="119">
        <f>h20a!E9</f>
        <v>21</v>
      </c>
      <c r="G14" s="119">
        <f>h20a!F9</f>
        <v>112</v>
      </c>
      <c r="H14" s="119">
        <f>h20a!G9</f>
        <v>23</v>
      </c>
      <c r="I14" s="119">
        <f>h20a!H9</f>
        <v>2</v>
      </c>
      <c r="J14" s="119">
        <f>h20a!I9</f>
        <v>5</v>
      </c>
      <c r="K14" s="119">
        <f>h20a!J9</f>
        <v>85</v>
      </c>
      <c r="L14" s="119">
        <f>h20a!K9</f>
        <v>16</v>
      </c>
      <c r="M14" s="119">
        <f>h20a!L9</f>
        <v>26</v>
      </c>
      <c r="N14" s="119">
        <f>h20a!M9</f>
        <v>40</v>
      </c>
      <c r="O14" s="119">
        <f>h20a!N9</f>
        <v>7</v>
      </c>
      <c r="P14" s="119">
        <f>h20a!O9</f>
        <v>41</v>
      </c>
      <c r="Q14" s="119">
        <f>h20a!P9</f>
        <v>8</v>
      </c>
      <c r="R14" s="594">
        <f>h20a!Q9</f>
        <v>714</v>
      </c>
      <c r="S14" s="109">
        <f t="shared" si="0"/>
        <v>572</v>
      </c>
    </row>
    <row r="15" spans="1:19" x14ac:dyDescent="0.25">
      <c r="A15" s="573" t="s">
        <v>287</v>
      </c>
      <c r="B15" s="914" t="s">
        <v>35</v>
      </c>
      <c r="C15" s="119">
        <f>h20a!B10</f>
        <v>5</v>
      </c>
      <c r="D15" s="119">
        <f>h20a!C10</f>
        <v>22</v>
      </c>
      <c r="E15" s="119">
        <f>h20a!D10</f>
        <v>8</v>
      </c>
      <c r="F15" s="119">
        <f>h20a!E10</f>
        <v>2</v>
      </c>
      <c r="G15" s="119">
        <f>h20a!F10</f>
        <v>3</v>
      </c>
      <c r="H15" s="119">
        <f>h20a!G10</f>
        <v>2</v>
      </c>
      <c r="I15" s="119">
        <f>h20a!H10</f>
        <v>0</v>
      </c>
      <c r="J15" s="119">
        <f>h20a!I10</f>
        <v>0</v>
      </c>
      <c r="K15" s="119">
        <f>h20a!J10</f>
        <v>1</v>
      </c>
      <c r="L15" s="119">
        <f>h20a!K10</f>
        <v>17</v>
      </c>
      <c r="M15" s="119">
        <f>h20a!L10</f>
        <v>0</v>
      </c>
      <c r="N15" s="119">
        <f>h20a!M10</f>
        <v>1</v>
      </c>
      <c r="O15" s="119">
        <f>h20a!N10</f>
        <v>7</v>
      </c>
      <c r="P15" s="119">
        <f>h20a!O10</f>
        <v>2</v>
      </c>
      <c r="Q15" s="119">
        <f>h20a!P10</f>
        <v>0</v>
      </c>
      <c r="R15" s="594">
        <f>h20a!Q10</f>
        <v>70</v>
      </c>
      <c r="S15" s="109">
        <f t="shared" si="0"/>
        <v>62</v>
      </c>
    </row>
    <row r="16" spans="1:19" x14ac:dyDescent="0.25">
      <c r="A16" s="573" t="s">
        <v>288</v>
      </c>
      <c r="B16" s="914" t="s">
        <v>36</v>
      </c>
      <c r="C16" s="119">
        <f>h20a!B11</f>
        <v>12</v>
      </c>
      <c r="D16" s="119">
        <f>h20a!C11</f>
        <v>77</v>
      </c>
      <c r="E16" s="119">
        <f>h20a!D11</f>
        <v>32</v>
      </c>
      <c r="F16" s="119">
        <f>h20a!E11</f>
        <v>7</v>
      </c>
      <c r="G16" s="119">
        <f>h20a!F11</f>
        <v>86</v>
      </c>
      <c r="H16" s="119">
        <f>h20a!G11</f>
        <v>16</v>
      </c>
      <c r="I16" s="119">
        <f>h20a!H11</f>
        <v>5</v>
      </c>
      <c r="J16" s="119">
        <f>h20a!I11</f>
        <v>10</v>
      </c>
      <c r="K16" s="119">
        <f>h20a!J11</f>
        <v>17</v>
      </c>
      <c r="L16" s="119">
        <f>h20a!K11</f>
        <v>55</v>
      </c>
      <c r="M16" s="119">
        <f>h20a!L11</f>
        <v>30</v>
      </c>
      <c r="N16" s="119">
        <f>h20a!M11</f>
        <v>29</v>
      </c>
      <c r="O16" s="119">
        <f>h20a!N11</f>
        <v>17</v>
      </c>
      <c r="P16" s="119">
        <f>h20a!O11</f>
        <v>34</v>
      </c>
      <c r="Q16" s="119">
        <f>h20a!P11</f>
        <v>13</v>
      </c>
      <c r="R16" s="594">
        <f>h20a!Q11</f>
        <v>440</v>
      </c>
      <c r="S16" s="109">
        <f t="shared" si="0"/>
        <v>408</v>
      </c>
    </row>
    <row r="17" spans="1:19" x14ac:dyDescent="0.25">
      <c r="A17" s="573" t="s">
        <v>314</v>
      </c>
      <c r="B17" s="914" t="s">
        <v>37</v>
      </c>
      <c r="C17" s="119">
        <f>h20a!B12</f>
        <v>14</v>
      </c>
      <c r="D17" s="119">
        <f>h20a!C12</f>
        <v>39</v>
      </c>
      <c r="E17" s="119">
        <f>h20a!D12</f>
        <v>280</v>
      </c>
      <c r="F17" s="119">
        <f>h20a!E12</f>
        <v>2</v>
      </c>
      <c r="G17" s="119">
        <f>h20a!F12</f>
        <v>15</v>
      </c>
      <c r="H17" s="119">
        <f>h20a!G12</f>
        <v>0</v>
      </c>
      <c r="I17" s="119">
        <f>h20a!H12</f>
        <v>0</v>
      </c>
      <c r="J17" s="119">
        <f>h20a!I12</f>
        <v>0</v>
      </c>
      <c r="K17" s="119">
        <f>h20a!J12</f>
        <v>10</v>
      </c>
      <c r="L17" s="119">
        <f>h20a!K12</f>
        <v>6</v>
      </c>
      <c r="M17" s="119">
        <f>h20a!L12</f>
        <v>5</v>
      </c>
      <c r="N17" s="119">
        <f>h20a!M12</f>
        <v>4</v>
      </c>
      <c r="O17" s="119">
        <f>h20a!N12</f>
        <v>1</v>
      </c>
      <c r="P17" s="119">
        <f>h20a!O12</f>
        <v>1</v>
      </c>
      <c r="Q17" s="119">
        <f>h20a!P12</f>
        <v>4</v>
      </c>
      <c r="R17" s="594">
        <f>h20a!Q12</f>
        <v>381</v>
      </c>
      <c r="S17" s="109">
        <f t="shared" si="0"/>
        <v>101</v>
      </c>
    </row>
    <row r="18" spans="1:19" x14ac:dyDescent="0.25">
      <c r="A18" s="573" t="s">
        <v>289</v>
      </c>
      <c r="B18" s="914" t="s">
        <v>38</v>
      </c>
      <c r="C18" s="119">
        <f>h20a!B13</f>
        <v>3</v>
      </c>
      <c r="D18" s="119">
        <f>h20a!C13</f>
        <v>57</v>
      </c>
      <c r="E18" s="119">
        <f>h20a!D13</f>
        <v>7</v>
      </c>
      <c r="F18" s="119">
        <f>h20a!E13</f>
        <v>0</v>
      </c>
      <c r="G18" s="119">
        <f>h20a!F13</f>
        <v>24</v>
      </c>
      <c r="H18" s="119">
        <f>h20a!G13</f>
        <v>8</v>
      </c>
      <c r="I18" s="119">
        <f>h20a!H13</f>
        <v>0</v>
      </c>
      <c r="J18" s="119">
        <f>h20a!I13</f>
        <v>0</v>
      </c>
      <c r="K18" s="119">
        <f>h20a!J13</f>
        <v>9</v>
      </c>
      <c r="L18" s="119">
        <f>h20a!K13</f>
        <v>8</v>
      </c>
      <c r="M18" s="119">
        <f>h20a!L13</f>
        <v>11</v>
      </c>
      <c r="N18" s="119">
        <f>h20a!M13</f>
        <v>6</v>
      </c>
      <c r="O18" s="119">
        <f>h20a!N13</f>
        <v>7</v>
      </c>
      <c r="P18" s="119">
        <f>h20a!O13</f>
        <v>3</v>
      </c>
      <c r="Q18" s="119">
        <f>h20a!P13</f>
        <v>2</v>
      </c>
      <c r="R18" s="594">
        <f>h20a!Q13</f>
        <v>145</v>
      </c>
      <c r="S18" s="109">
        <f t="shared" si="0"/>
        <v>138</v>
      </c>
    </row>
    <row r="19" spans="1:19" x14ac:dyDescent="0.25">
      <c r="A19" s="573" t="s">
        <v>316</v>
      </c>
      <c r="B19" s="914" t="s">
        <v>39</v>
      </c>
      <c r="C19" s="119">
        <f>h20a!B14</f>
        <v>2</v>
      </c>
      <c r="D19" s="119">
        <f>h20a!C14</f>
        <v>26</v>
      </c>
      <c r="E19" s="119">
        <f>h20a!D14</f>
        <v>19</v>
      </c>
      <c r="F19" s="119">
        <f>h20a!E14</f>
        <v>0</v>
      </c>
      <c r="G19" s="119">
        <f>h20a!F14</f>
        <v>5</v>
      </c>
      <c r="H19" s="119">
        <f>h20a!G14</f>
        <v>1</v>
      </c>
      <c r="I19" s="119">
        <f>h20a!H14</f>
        <v>2</v>
      </c>
      <c r="J19" s="119">
        <f>h20a!I14</f>
        <v>0</v>
      </c>
      <c r="K19" s="119">
        <f>h20a!J14</f>
        <v>7</v>
      </c>
      <c r="L19" s="119">
        <f>h20a!K14</f>
        <v>4</v>
      </c>
      <c r="M19" s="119">
        <f>h20a!L14</f>
        <v>12</v>
      </c>
      <c r="N19" s="119">
        <f>h20a!M14</f>
        <v>4</v>
      </c>
      <c r="O19" s="119">
        <f>h20a!N14</f>
        <v>0</v>
      </c>
      <c r="P19" s="119">
        <f>h20a!O14</f>
        <v>2</v>
      </c>
      <c r="Q19" s="119">
        <f>h20a!P14</f>
        <v>0</v>
      </c>
      <c r="R19" s="594">
        <f>h20a!Q14</f>
        <v>84</v>
      </c>
      <c r="S19" s="109">
        <f t="shared" si="0"/>
        <v>65</v>
      </c>
    </row>
    <row r="20" spans="1:19" x14ac:dyDescent="0.25">
      <c r="A20" s="573" t="s">
        <v>290</v>
      </c>
      <c r="B20" s="914" t="s">
        <v>40</v>
      </c>
      <c r="C20" s="119">
        <f>h20a!B15</f>
        <v>7</v>
      </c>
      <c r="D20" s="119">
        <f>h20a!C15</f>
        <v>29</v>
      </c>
      <c r="E20" s="119">
        <f>h20a!D15</f>
        <v>6</v>
      </c>
      <c r="F20" s="119">
        <f>h20a!E15</f>
        <v>9</v>
      </c>
      <c r="G20" s="119">
        <f>h20a!F15</f>
        <v>30</v>
      </c>
      <c r="H20" s="119">
        <f>h20a!G15</f>
        <v>11</v>
      </c>
      <c r="I20" s="119">
        <f>h20a!H15</f>
        <v>0</v>
      </c>
      <c r="J20" s="119">
        <f>h20a!I15</f>
        <v>1</v>
      </c>
      <c r="K20" s="119">
        <f>h20a!J15</f>
        <v>7</v>
      </c>
      <c r="L20" s="119">
        <f>h20a!K15</f>
        <v>16</v>
      </c>
      <c r="M20" s="119">
        <f>h20a!L15</f>
        <v>4</v>
      </c>
      <c r="N20" s="119">
        <f>h20a!M15</f>
        <v>13</v>
      </c>
      <c r="O20" s="119">
        <f>h20a!N15</f>
        <v>5</v>
      </c>
      <c r="P20" s="119">
        <f>h20a!O15</f>
        <v>9</v>
      </c>
      <c r="Q20" s="119">
        <f>h20a!P15</f>
        <v>2</v>
      </c>
      <c r="R20" s="594">
        <f>h20a!Q15</f>
        <v>149</v>
      </c>
      <c r="S20" s="109">
        <f t="shared" si="0"/>
        <v>143</v>
      </c>
    </row>
    <row r="21" spans="1:19" x14ac:dyDescent="0.25">
      <c r="A21" s="573" t="s">
        <v>291</v>
      </c>
      <c r="B21" s="914" t="s">
        <v>41</v>
      </c>
      <c r="C21" s="119">
        <f>h20a!B16</f>
        <v>1</v>
      </c>
      <c r="D21" s="119">
        <f>h20a!C16</f>
        <v>15</v>
      </c>
      <c r="E21" s="119">
        <f>h20a!D16</f>
        <v>0</v>
      </c>
      <c r="F21" s="119">
        <f>h20a!E16</f>
        <v>0</v>
      </c>
      <c r="G21" s="119">
        <f>h20a!F16</f>
        <v>6</v>
      </c>
      <c r="H21" s="119">
        <f>h20a!G16</f>
        <v>1</v>
      </c>
      <c r="I21" s="119">
        <f>h20a!H16</f>
        <v>1</v>
      </c>
      <c r="J21" s="119">
        <f>h20a!I16</f>
        <v>1</v>
      </c>
      <c r="K21" s="119">
        <f>h20a!J16</f>
        <v>2</v>
      </c>
      <c r="L21" s="119">
        <f>h20a!K16</f>
        <v>2</v>
      </c>
      <c r="M21" s="119">
        <f>h20a!L16</f>
        <v>1</v>
      </c>
      <c r="N21" s="119">
        <f>h20a!M16</f>
        <v>3</v>
      </c>
      <c r="O21" s="119">
        <f>h20a!N16</f>
        <v>2</v>
      </c>
      <c r="P21" s="119">
        <f>h20a!O16</f>
        <v>0</v>
      </c>
      <c r="Q21" s="119">
        <f>h20a!P16</f>
        <v>1</v>
      </c>
      <c r="R21" s="594">
        <f>h20a!Q16</f>
        <v>36</v>
      </c>
      <c r="S21" s="109">
        <f t="shared" si="0"/>
        <v>36</v>
      </c>
    </row>
    <row r="22" spans="1:19" x14ac:dyDescent="0.25">
      <c r="A22" s="573" t="s">
        <v>293</v>
      </c>
      <c r="B22" s="914" t="s">
        <v>42</v>
      </c>
      <c r="C22" s="119">
        <f>h20a!B17</f>
        <v>24</v>
      </c>
      <c r="D22" s="119">
        <f>h20a!C17</f>
        <v>46</v>
      </c>
      <c r="E22" s="119">
        <f>h20a!D17</f>
        <v>5</v>
      </c>
      <c r="F22" s="119">
        <f>h20a!E17</f>
        <v>1</v>
      </c>
      <c r="G22" s="119">
        <f>h20a!F17</f>
        <v>11</v>
      </c>
      <c r="H22" s="119">
        <f>h20a!G17</f>
        <v>18</v>
      </c>
      <c r="I22" s="119">
        <f>h20a!H17</f>
        <v>0</v>
      </c>
      <c r="J22" s="119">
        <f>h20a!I17</f>
        <v>6</v>
      </c>
      <c r="K22" s="119">
        <f>h20a!J17</f>
        <v>19</v>
      </c>
      <c r="L22" s="119">
        <f>h20a!K17</f>
        <v>26</v>
      </c>
      <c r="M22" s="119">
        <f>h20a!L17</f>
        <v>8</v>
      </c>
      <c r="N22" s="119">
        <f>h20a!M17</f>
        <v>9</v>
      </c>
      <c r="O22" s="119">
        <f>h20a!N17</f>
        <v>13</v>
      </c>
      <c r="P22" s="119">
        <f>h20a!O17</f>
        <v>10</v>
      </c>
      <c r="Q22" s="119">
        <f>h20a!P17</f>
        <v>5</v>
      </c>
      <c r="R22" s="594">
        <f>h20a!Q17</f>
        <v>201</v>
      </c>
      <c r="S22" s="109">
        <f t="shared" si="0"/>
        <v>196</v>
      </c>
    </row>
    <row r="23" spans="1:19" x14ac:dyDescent="0.25">
      <c r="A23" s="573" t="s">
        <v>441</v>
      </c>
      <c r="B23" s="914" t="s">
        <v>43</v>
      </c>
      <c r="C23" s="119">
        <f>h20a!B18</f>
        <v>29</v>
      </c>
      <c r="D23" s="119">
        <f>h20a!C18</f>
        <v>135</v>
      </c>
      <c r="E23" s="119">
        <f>h20a!D18</f>
        <v>214</v>
      </c>
      <c r="F23" s="119">
        <f>h20a!E18</f>
        <v>0</v>
      </c>
      <c r="G23" s="119">
        <f>h20a!F18</f>
        <v>85</v>
      </c>
      <c r="H23" s="119">
        <f>h20a!G18</f>
        <v>10</v>
      </c>
      <c r="I23" s="119">
        <f>h20a!H18</f>
        <v>0</v>
      </c>
      <c r="J23" s="119">
        <f>h20a!I18</f>
        <v>4</v>
      </c>
      <c r="K23" s="119">
        <f>h20a!J18</f>
        <v>12</v>
      </c>
      <c r="L23" s="119">
        <f>h20a!K18</f>
        <v>122</v>
      </c>
      <c r="M23" s="119">
        <f>h20a!L18</f>
        <v>9</v>
      </c>
      <c r="N23" s="119">
        <f>h20a!M18</f>
        <v>12</v>
      </c>
      <c r="O23" s="119">
        <f>h20a!N18</f>
        <v>10</v>
      </c>
      <c r="P23" s="119">
        <f>h20a!O18</f>
        <v>5</v>
      </c>
      <c r="Q23" s="119">
        <f>h20a!P18</f>
        <v>10</v>
      </c>
      <c r="R23" s="594">
        <f>h20a!Q18</f>
        <v>657</v>
      </c>
      <c r="S23" s="109">
        <f t="shared" si="0"/>
        <v>443</v>
      </c>
    </row>
    <row r="24" spans="1:19" x14ac:dyDescent="0.25">
      <c r="A24" s="573" t="s">
        <v>317</v>
      </c>
      <c r="B24" s="914" t="s">
        <v>124</v>
      </c>
      <c r="C24" s="119">
        <f>h20a!B19</f>
        <v>68</v>
      </c>
      <c r="D24" s="119">
        <f>h20a!C19</f>
        <v>127</v>
      </c>
      <c r="E24" s="119">
        <f>h20a!D19</f>
        <v>602</v>
      </c>
      <c r="F24" s="119">
        <f>h20a!E19</f>
        <v>13</v>
      </c>
      <c r="G24" s="119">
        <f>h20a!F19</f>
        <v>102</v>
      </c>
      <c r="H24" s="119">
        <f>h20a!G19</f>
        <v>1</v>
      </c>
      <c r="I24" s="119">
        <f>h20a!H19</f>
        <v>7</v>
      </c>
      <c r="J24" s="119">
        <f>h20a!I19</f>
        <v>2</v>
      </c>
      <c r="K24" s="119">
        <f>h20a!J19</f>
        <v>51</v>
      </c>
      <c r="L24" s="119">
        <f>h20a!K19</f>
        <v>18</v>
      </c>
      <c r="M24" s="119">
        <f>h20a!L19</f>
        <v>57</v>
      </c>
      <c r="N24" s="119">
        <f>h20a!M19</f>
        <v>26</v>
      </c>
      <c r="O24" s="119">
        <f>h20a!N19</f>
        <v>10</v>
      </c>
      <c r="P24" s="119">
        <f>h20a!O19</f>
        <v>24</v>
      </c>
      <c r="Q24" s="119">
        <f>h20a!P19</f>
        <v>18</v>
      </c>
      <c r="R24" s="594">
        <f>h20a!Q19</f>
        <v>1126</v>
      </c>
      <c r="S24" s="109">
        <f t="shared" si="0"/>
        <v>524</v>
      </c>
    </row>
    <row r="25" spans="1:19" x14ac:dyDescent="0.25">
      <c r="A25" s="573" t="s">
        <v>294</v>
      </c>
      <c r="B25" s="914" t="s">
        <v>44</v>
      </c>
      <c r="C25" s="119">
        <f>h20a!B20</f>
        <v>15</v>
      </c>
      <c r="D25" s="119">
        <f>h20a!C20</f>
        <v>81</v>
      </c>
      <c r="E25" s="119">
        <f>h20a!D20</f>
        <v>45</v>
      </c>
      <c r="F25" s="119">
        <f>h20a!E20</f>
        <v>2</v>
      </c>
      <c r="G25" s="119">
        <f>h20a!F20</f>
        <v>25</v>
      </c>
      <c r="H25" s="119">
        <f>h20a!G20</f>
        <v>3</v>
      </c>
      <c r="I25" s="119">
        <f>h20a!H20</f>
        <v>0</v>
      </c>
      <c r="J25" s="119">
        <f>h20a!I20</f>
        <v>1</v>
      </c>
      <c r="K25" s="119">
        <f>h20a!J20</f>
        <v>5</v>
      </c>
      <c r="L25" s="119">
        <f>h20a!K20</f>
        <v>4</v>
      </c>
      <c r="M25" s="119">
        <f>h20a!L20</f>
        <v>4</v>
      </c>
      <c r="N25" s="119">
        <f>h20a!M20</f>
        <v>3</v>
      </c>
      <c r="O25" s="119">
        <f>h20a!N20</f>
        <v>4</v>
      </c>
      <c r="P25" s="119">
        <f>h20a!O20</f>
        <v>3</v>
      </c>
      <c r="Q25" s="119">
        <f>h20a!P20</f>
        <v>1</v>
      </c>
      <c r="R25" s="594">
        <f>h20a!Q20</f>
        <v>196</v>
      </c>
      <c r="S25" s="109">
        <f t="shared" si="0"/>
        <v>151</v>
      </c>
    </row>
    <row r="26" spans="1:19" x14ac:dyDescent="0.25">
      <c r="A26" s="573" t="s">
        <v>295</v>
      </c>
      <c r="B26" s="914" t="s">
        <v>45</v>
      </c>
      <c r="C26" s="119">
        <f>h20a!B21</f>
        <v>2</v>
      </c>
      <c r="D26" s="119">
        <f>h20a!C21</f>
        <v>35</v>
      </c>
      <c r="E26" s="119">
        <f>h20a!D21</f>
        <v>7</v>
      </c>
      <c r="F26" s="119">
        <f>h20a!E21</f>
        <v>0</v>
      </c>
      <c r="G26" s="119">
        <f>h20a!F21</f>
        <v>6</v>
      </c>
      <c r="H26" s="119">
        <f>h20a!G21</f>
        <v>0</v>
      </c>
      <c r="I26" s="119">
        <f>h20a!H21</f>
        <v>1</v>
      </c>
      <c r="J26" s="119">
        <f>h20a!I21</f>
        <v>0</v>
      </c>
      <c r="K26" s="119">
        <f>h20a!J21</f>
        <v>3</v>
      </c>
      <c r="L26" s="119">
        <f>h20a!K21</f>
        <v>10</v>
      </c>
      <c r="M26" s="119">
        <f>h20a!L21</f>
        <v>3</v>
      </c>
      <c r="N26" s="119">
        <f>h20a!M21</f>
        <v>3</v>
      </c>
      <c r="O26" s="119">
        <f>h20a!N21</f>
        <v>2</v>
      </c>
      <c r="P26" s="119">
        <f>h20a!O21</f>
        <v>2</v>
      </c>
      <c r="Q26" s="119">
        <f>h20a!P21</f>
        <v>4</v>
      </c>
      <c r="R26" s="594">
        <f>h20a!Q21</f>
        <v>78</v>
      </c>
      <c r="S26" s="109">
        <f t="shared" si="0"/>
        <v>71</v>
      </c>
    </row>
    <row r="27" spans="1:19" x14ac:dyDescent="0.25">
      <c r="A27" s="573" t="s">
        <v>296</v>
      </c>
      <c r="B27" s="914" t="s">
        <v>46</v>
      </c>
      <c r="C27" s="119">
        <f>h20a!B22</f>
        <v>3</v>
      </c>
      <c r="D27" s="119">
        <f>h20a!C22</f>
        <v>19</v>
      </c>
      <c r="E27" s="119">
        <f>h20a!D22</f>
        <v>17</v>
      </c>
      <c r="F27" s="119">
        <f>h20a!E22</f>
        <v>2</v>
      </c>
      <c r="G27" s="119">
        <f>h20a!F22</f>
        <v>13</v>
      </c>
      <c r="H27" s="119">
        <f>h20a!G22</f>
        <v>2</v>
      </c>
      <c r="I27" s="119">
        <f>h20a!H22</f>
        <v>2</v>
      </c>
      <c r="J27" s="119">
        <f>h20a!I22</f>
        <v>2</v>
      </c>
      <c r="K27" s="119">
        <f>h20a!J22</f>
        <v>20</v>
      </c>
      <c r="L27" s="119">
        <f>h20a!K22</f>
        <v>12</v>
      </c>
      <c r="M27" s="119">
        <f>h20a!L22</f>
        <v>22</v>
      </c>
      <c r="N27" s="119">
        <f>h20a!M22</f>
        <v>3</v>
      </c>
      <c r="O27" s="119">
        <f>h20a!N22</f>
        <v>6</v>
      </c>
      <c r="P27" s="119">
        <f>h20a!O22</f>
        <v>4</v>
      </c>
      <c r="Q27" s="119">
        <f>h20a!P22</f>
        <v>11</v>
      </c>
      <c r="R27" s="594">
        <f>h20a!Q22</f>
        <v>138</v>
      </c>
      <c r="S27" s="109">
        <f t="shared" si="0"/>
        <v>121</v>
      </c>
    </row>
    <row r="28" spans="1:19" x14ac:dyDescent="0.25">
      <c r="A28" s="573" t="s">
        <v>297</v>
      </c>
      <c r="B28" s="914" t="s">
        <v>47</v>
      </c>
      <c r="C28" s="119">
        <f>h20a!B23</f>
        <v>8</v>
      </c>
      <c r="D28" s="119">
        <f>h20a!C23</f>
        <v>31</v>
      </c>
      <c r="E28" s="119">
        <f>h20a!D23</f>
        <v>9</v>
      </c>
      <c r="F28" s="119">
        <f>h20a!E23</f>
        <v>1</v>
      </c>
      <c r="G28" s="119">
        <f>h20a!F23</f>
        <v>11</v>
      </c>
      <c r="H28" s="119">
        <f>h20a!G23</f>
        <v>28</v>
      </c>
      <c r="I28" s="119">
        <f>h20a!H23</f>
        <v>0</v>
      </c>
      <c r="J28" s="119">
        <f>h20a!I23</f>
        <v>1</v>
      </c>
      <c r="K28" s="119">
        <f>h20a!J23</f>
        <v>4</v>
      </c>
      <c r="L28" s="119">
        <f>h20a!K23</f>
        <v>3</v>
      </c>
      <c r="M28" s="119">
        <f>h20a!L23</f>
        <v>14</v>
      </c>
      <c r="N28" s="119">
        <f>h20a!M23</f>
        <v>2</v>
      </c>
      <c r="O28" s="119">
        <f>h20a!N23</f>
        <v>7</v>
      </c>
      <c r="P28" s="119">
        <f>h20a!O23</f>
        <v>8</v>
      </c>
      <c r="Q28" s="119">
        <f>h20a!P23</f>
        <v>3</v>
      </c>
      <c r="R28" s="594">
        <f>h20a!Q23</f>
        <v>130</v>
      </c>
      <c r="S28" s="109">
        <f t="shared" si="0"/>
        <v>121</v>
      </c>
    </row>
    <row r="29" spans="1:19" x14ac:dyDescent="0.25">
      <c r="A29" s="573" t="s">
        <v>292</v>
      </c>
      <c r="B29" s="914" t="s">
        <v>48</v>
      </c>
      <c r="C29" s="119">
        <f>h20a!B24</f>
        <v>2</v>
      </c>
      <c r="D29" s="119">
        <f>h20a!C24</f>
        <v>6</v>
      </c>
      <c r="E29" s="119">
        <f>h20a!D24</f>
        <v>0</v>
      </c>
      <c r="F29" s="119">
        <f>h20a!E24</f>
        <v>0</v>
      </c>
      <c r="G29" s="119">
        <f>h20a!F24</f>
        <v>8</v>
      </c>
      <c r="H29" s="119">
        <f>h20a!G24</f>
        <v>0</v>
      </c>
      <c r="I29" s="119">
        <f>h20a!H24</f>
        <v>0</v>
      </c>
      <c r="J29" s="119">
        <f>h20a!I24</f>
        <v>0</v>
      </c>
      <c r="K29" s="119">
        <f>h20a!J24</f>
        <v>1</v>
      </c>
      <c r="L29" s="119">
        <f>h20a!K24</f>
        <v>1</v>
      </c>
      <c r="M29" s="119">
        <f>h20a!L24</f>
        <v>0</v>
      </c>
      <c r="N29" s="119">
        <f>h20a!M24</f>
        <v>0</v>
      </c>
      <c r="O29" s="119">
        <f>h20a!N24</f>
        <v>2</v>
      </c>
      <c r="P29" s="119">
        <f>h20a!O24</f>
        <v>1</v>
      </c>
      <c r="Q29" s="119">
        <f>h20a!P24</f>
        <v>0</v>
      </c>
      <c r="R29" s="594">
        <f>h20a!Q24</f>
        <v>21</v>
      </c>
      <c r="S29" s="109">
        <f t="shared" si="0"/>
        <v>21</v>
      </c>
    </row>
    <row r="30" spans="1:19" x14ac:dyDescent="0.25">
      <c r="A30" s="573" t="s">
        <v>298</v>
      </c>
      <c r="B30" s="914" t="s">
        <v>49</v>
      </c>
      <c r="C30" s="119">
        <f>h20a!B25</f>
        <v>2</v>
      </c>
      <c r="D30" s="119">
        <f>h20a!C25</f>
        <v>100</v>
      </c>
      <c r="E30" s="119">
        <f>h20a!D25</f>
        <v>9</v>
      </c>
      <c r="F30" s="119">
        <f>h20a!E25</f>
        <v>2</v>
      </c>
      <c r="G30" s="119">
        <f>h20a!F25</f>
        <v>31</v>
      </c>
      <c r="H30" s="119">
        <f>h20a!G25</f>
        <v>19</v>
      </c>
      <c r="I30" s="119">
        <f>h20a!H25</f>
        <v>1</v>
      </c>
      <c r="J30" s="119">
        <f>h20a!I25</f>
        <v>0</v>
      </c>
      <c r="K30" s="119">
        <f>h20a!J25</f>
        <v>3</v>
      </c>
      <c r="L30" s="119">
        <f>h20a!K25</f>
        <v>4</v>
      </c>
      <c r="M30" s="119">
        <f>h20a!L25</f>
        <v>23</v>
      </c>
      <c r="N30" s="119">
        <f>h20a!M25</f>
        <v>3</v>
      </c>
      <c r="O30" s="119">
        <f>h20a!N25</f>
        <v>27</v>
      </c>
      <c r="P30" s="119">
        <f>h20a!O25</f>
        <v>7</v>
      </c>
      <c r="Q30" s="119">
        <f>h20a!P25</f>
        <v>13</v>
      </c>
      <c r="R30" s="594">
        <f>h20a!Q25</f>
        <v>244</v>
      </c>
      <c r="S30" s="109">
        <f t="shared" si="0"/>
        <v>235</v>
      </c>
    </row>
    <row r="31" spans="1:19" x14ac:dyDescent="0.25">
      <c r="A31" s="573" t="s">
        <v>315</v>
      </c>
      <c r="B31" s="914" t="s">
        <v>50</v>
      </c>
      <c r="C31" s="119">
        <f>h20a!B26</f>
        <v>9</v>
      </c>
      <c r="D31" s="119">
        <f>h20a!C26</f>
        <v>58</v>
      </c>
      <c r="E31" s="119">
        <f>h20a!D26</f>
        <v>24</v>
      </c>
      <c r="F31" s="119">
        <f>h20a!E26</f>
        <v>0</v>
      </c>
      <c r="G31" s="119">
        <f>h20a!F26</f>
        <v>29</v>
      </c>
      <c r="H31" s="119">
        <f>h20a!G26</f>
        <v>3</v>
      </c>
      <c r="I31" s="119">
        <f>h20a!H26</f>
        <v>0</v>
      </c>
      <c r="J31" s="119">
        <f>h20a!I26</f>
        <v>1</v>
      </c>
      <c r="K31" s="119">
        <f>h20a!J26</f>
        <v>24</v>
      </c>
      <c r="L31" s="119">
        <f>h20a!K26</f>
        <v>17</v>
      </c>
      <c r="M31" s="119">
        <f>h20a!L26</f>
        <v>41</v>
      </c>
      <c r="N31" s="119">
        <f>h20a!M26</f>
        <v>28</v>
      </c>
      <c r="O31" s="119">
        <f>h20a!N26</f>
        <v>17</v>
      </c>
      <c r="P31" s="119">
        <f>h20a!O26</f>
        <v>35</v>
      </c>
      <c r="Q31" s="119">
        <f>h20a!P26</f>
        <v>21</v>
      </c>
      <c r="R31" s="594">
        <f>h20a!Q26</f>
        <v>307</v>
      </c>
      <c r="S31" s="109">
        <f t="shared" si="0"/>
        <v>283</v>
      </c>
    </row>
    <row r="32" spans="1:19" x14ac:dyDescent="0.25">
      <c r="A32" s="573" t="s">
        <v>299</v>
      </c>
      <c r="B32" s="914" t="s">
        <v>51</v>
      </c>
      <c r="C32" s="119">
        <f>h20a!B27</f>
        <v>0</v>
      </c>
      <c r="D32" s="119">
        <f>h20a!C27</f>
        <v>3</v>
      </c>
      <c r="E32" s="119">
        <f>h20a!D27</f>
        <v>0</v>
      </c>
      <c r="F32" s="119">
        <f>h20a!E27</f>
        <v>0</v>
      </c>
      <c r="G32" s="119">
        <f>h20a!F27</f>
        <v>5</v>
      </c>
      <c r="H32" s="119">
        <f>h20a!G27</f>
        <v>0</v>
      </c>
      <c r="I32" s="119">
        <f>h20a!H27</f>
        <v>0</v>
      </c>
      <c r="J32" s="119">
        <f>h20a!I27</f>
        <v>0</v>
      </c>
      <c r="K32" s="119">
        <f>h20a!J27</f>
        <v>0</v>
      </c>
      <c r="L32" s="119">
        <f>h20a!K27</f>
        <v>0</v>
      </c>
      <c r="M32" s="119">
        <f>h20a!L27</f>
        <v>0</v>
      </c>
      <c r="N32" s="119">
        <f>h20a!M27</f>
        <v>0</v>
      </c>
      <c r="O32" s="119">
        <f>h20a!N27</f>
        <v>0</v>
      </c>
      <c r="P32" s="119">
        <f>h20a!O27</f>
        <v>0</v>
      </c>
      <c r="Q32" s="119">
        <f>h20a!P27</f>
        <v>1</v>
      </c>
      <c r="R32" s="594">
        <f>h20a!Q27</f>
        <v>9</v>
      </c>
      <c r="S32" s="109">
        <f t="shared" si="0"/>
        <v>9</v>
      </c>
    </row>
    <row r="33" spans="1:19" x14ac:dyDescent="0.25">
      <c r="A33" s="573" t="s">
        <v>300</v>
      </c>
      <c r="B33" s="914" t="s">
        <v>52</v>
      </c>
      <c r="C33" s="119">
        <f>h20a!B28</f>
        <v>69</v>
      </c>
      <c r="D33" s="119">
        <f>h20a!C28</f>
        <v>86</v>
      </c>
      <c r="E33" s="119">
        <f>h20a!D28</f>
        <v>18</v>
      </c>
      <c r="F33" s="119">
        <f>h20a!E28</f>
        <v>7</v>
      </c>
      <c r="G33" s="119">
        <f>h20a!F28</f>
        <v>48</v>
      </c>
      <c r="H33" s="119">
        <f>h20a!G28</f>
        <v>30</v>
      </c>
      <c r="I33" s="119">
        <f>h20a!H28</f>
        <v>0</v>
      </c>
      <c r="J33" s="119">
        <f>h20a!I28</f>
        <v>1</v>
      </c>
      <c r="K33" s="119">
        <f>h20a!J28</f>
        <v>5</v>
      </c>
      <c r="L33" s="119">
        <f>h20a!K28</f>
        <v>2</v>
      </c>
      <c r="M33" s="119">
        <f>h20a!L28</f>
        <v>8</v>
      </c>
      <c r="N33" s="119">
        <f>h20a!M28</f>
        <v>5</v>
      </c>
      <c r="O33" s="119">
        <f>h20a!N28</f>
        <v>7</v>
      </c>
      <c r="P33" s="119">
        <f>h20a!O28</f>
        <v>3</v>
      </c>
      <c r="Q33" s="119">
        <f>h20a!P28</f>
        <v>4</v>
      </c>
      <c r="R33" s="594">
        <f>h20a!Q28</f>
        <v>293</v>
      </c>
      <c r="S33" s="109">
        <f t="shared" si="0"/>
        <v>275</v>
      </c>
    </row>
    <row r="34" spans="1:19" x14ac:dyDescent="0.25">
      <c r="A34" s="573" t="s">
        <v>310</v>
      </c>
      <c r="B34" s="914" t="s">
        <v>53</v>
      </c>
      <c r="C34" s="119">
        <f>h20a!B29</f>
        <v>1</v>
      </c>
      <c r="D34" s="119">
        <f>h20a!C29</f>
        <v>58</v>
      </c>
      <c r="E34" s="119">
        <f>h20a!D29</f>
        <v>17</v>
      </c>
      <c r="F34" s="119">
        <f>h20a!E29</f>
        <v>0</v>
      </c>
      <c r="G34" s="119">
        <f>h20a!F29</f>
        <v>20</v>
      </c>
      <c r="H34" s="119">
        <f>h20a!G29</f>
        <v>14</v>
      </c>
      <c r="I34" s="119">
        <f>h20a!H29</f>
        <v>0</v>
      </c>
      <c r="J34" s="119">
        <f>h20a!I29</f>
        <v>3</v>
      </c>
      <c r="K34" s="119">
        <f>h20a!J29</f>
        <v>10</v>
      </c>
      <c r="L34" s="119">
        <f>h20a!K29</f>
        <v>4</v>
      </c>
      <c r="M34" s="119">
        <f>h20a!L29</f>
        <v>5</v>
      </c>
      <c r="N34" s="119">
        <f>h20a!M29</f>
        <v>5</v>
      </c>
      <c r="O34" s="119">
        <f>h20a!N29</f>
        <v>16</v>
      </c>
      <c r="P34" s="119">
        <f>h20a!O29</f>
        <v>6</v>
      </c>
      <c r="Q34" s="119">
        <f>h20a!P29</f>
        <v>10</v>
      </c>
      <c r="R34" s="594">
        <f>h20a!Q29</f>
        <v>169</v>
      </c>
      <c r="S34" s="109">
        <f t="shared" si="0"/>
        <v>152</v>
      </c>
    </row>
    <row r="35" spans="1:19" x14ac:dyDescent="0.25">
      <c r="A35" s="573" t="s">
        <v>301</v>
      </c>
      <c r="B35" s="914" t="s">
        <v>54</v>
      </c>
      <c r="C35" s="119">
        <f>h20a!B30</f>
        <v>15</v>
      </c>
      <c r="D35" s="119">
        <f>h20a!C30</f>
        <v>36</v>
      </c>
      <c r="E35" s="119">
        <f>h20a!D30</f>
        <v>31</v>
      </c>
      <c r="F35" s="119">
        <f>h20a!E30</f>
        <v>1</v>
      </c>
      <c r="G35" s="119">
        <f>h20a!F30</f>
        <v>44</v>
      </c>
      <c r="H35" s="119">
        <f>h20a!G30</f>
        <v>23</v>
      </c>
      <c r="I35" s="119">
        <f>h20a!H30</f>
        <v>0</v>
      </c>
      <c r="J35" s="119">
        <f>h20a!I30</f>
        <v>0</v>
      </c>
      <c r="K35" s="119">
        <f>h20a!J30</f>
        <v>11</v>
      </c>
      <c r="L35" s="119">
        <f>h20a!K30</f>
        <v>15</v>
      </c>
      <c r="M35" s="119">
        <f>h20a!L30</f>
        <v>11</v>
      </c>
      <c r="N35" s="119">
        <f>h20a!M30</f>
        <v>16</v>
      </c>
      <c r="O35" s="119">
        <f>h20a!N30</f>
        <v>9</v>
      </c>
      <c r="P35" s="119">
        <f>h20a!O30</f>
        <v>3</v>
      </c>
      <c r="Q35" s="119">
        <f>h20a!P30</f>
        <v>4</v>
      </c>
      <c r="R35" s="594">
        <f>h20a!Q30</f>
        <v>219</v>
      </c>
      <c r="S35" s="109">
        <f t="shared" si="0"/>
        <v>188</v>
      </c>
    </row>
    <row r="36" spans="1:19" x14ac:dyDescent="0.25">
      <c r="A36" s="573" t="s">
        <v>302</v>
      </c>
      <c r="B36" s="914" t="s">
        <v>55</v>
      </c>
      <c r="C36" s="119">
        <f>h20a!B31</f>
        <v>0</v>
      </c>
      <c r="D36" s="119">
        <f>h20a!C31</f>
        <v>8</v>
      </c>
      <c r="E36" s="119">
        <f>h20a!D31</f>
        <v>3</v>
      </c>
      <c r="F36" s="119">
        <f>h20a!E31</f>
        <v>0</v>
      </c>
      <c r="G36" s="119">
        <f>h20a!F31</f>
        <v>2</v>
      </c>
      <c r="H36" s="119">
        <f>h20a!G31</f>
        <v>0</v>
      </c>
      <c r="I36" s="119">
        <f>h20a!H31</f>
        <v>0</v>
      </c>
      <c r="J36" s="119">
        <f>h20a!I31</f>
        <v>1</v>
      </c>
      <c r="K36" s="119">
        <f>h20a!J31</f>
        <v>1</v>
      </c>
      <c r="L36" s="119">
        <f>h20a!K31</f>
        <v>0</v>
      </c>
      <c r="M36" s="119">
        <f>h20a!L31</f>
        <v>0</v>
      </c>
      <c r="N36" s="119">
        <f>h20a!M31</f>
        <v>0</v>
      </c>
      <c r="O36" s="119">
        <f>h20a!N31</f>
        <v>0</v>
      </c>
      <c r="P36" s="119">
        <f>h20a!O31</f>
        <v>0</v>
      </c>
      <c r="Q36" s="119">
        <f>h20a!P31</f>
        <v>1</v>
      </c>
      <c r="R36" s="594">
        <f>h20a!Q31</f>
        <v>16</v>
      </c>
      <c r="S36" s="109">
        <f t="shared" si="0"/>
        <v>13</v>
      </c>
    </row>
    <row r="37" spans="1:19" x14ac:dyDescent="0.25">
      <c r="A37" s="573" t="s">
        <v>303</v>
      </c>
      <c r="B37" s="914" t="s">
        <v>56</v>
      </c>
      <c r="C37" s="119">
        <f>h20a!B32</f>
        <v>8</v>
      </c>
      <c r="D37" s="119">
        <f>h20a!C32</f>
        <v>56</v>
      </c>
      <c r="E37" s="119">
        <f>h20a!D32</f>
        <v>28</v>
      </c>
      <c r="F37" s="119">
        <f>h20a!E32</f>
        <v>3</v>
      </c>
      <c r="G37" s="119">
        <f>h20a!F32</f>
        <v>38</v>
      </c>
      <c r="H37" s="119">
        <f>h20a!G32</f>
        <v>7</v>
      </c>
      <c r="I37" s="119">
        <f>h20a!H32</f>
        <v>0</v>
      </c>
      <c r="J37" s="119">
        <f>h20a!I32</f>
        <v>2</v>
      </c>
      <c r="K37" s="119">
        <f>h20a!J32</f>
        <v>11</v>
      </c>
      <c r="L37" s="119">
        <f>h20a!K32</f>
        <v>19</v>
      </c>
      <c r="M37" s="119">
        <f>h20a!L32</f>
        <v>13</v>
      </c>
      <c r="N37" s="119">
        <f>h20a!M32</f>
        <v>6</v>
      </c>
      <c r="O37" s="119">
        <f>h20a!N32</f>
        <v>17</v>
      </c>
      <c r="P37" s="119">
        <f>h20a!O32</f>
        <v>11</v>
      </c>
      <c r="Q37" s="119">
        <f>h20a!P32</f>
        <v>10</v>
      </c>
      <c r="R37" s="594">
        <f>h20a!Q32</f>
        <v>229</v>
      </c>
      <c r="S37" s="109">
        <f t="shared" si="0"/>
        <v>201</v>
      </c>
    </row>
    <row r="38" spans="1:19" x14ac:dyDescent="0.25">
      <c r="A38" s="573" t="s">
        <v>304</v>
      </c>
      <c r="B38" s="914" t="s">
        <v>57</v>
      </c>
      <c r="C38" s="119">
        <f>h20a!B33</f>
        <v>26</v>
      </c>
      <c r="D38" s="119">
        <f>h20a!C33</f>
        <v>98</v>
      </c>
      <c r="E38" s="119">
        <f>h20a!D33</f>
        <v>52</v>
      </c>
      <c r="F38" s="119">
        <f>h20a!E33</f>
        <v>0</v>
      </c>
      <c r="G38" s="119">
        <f>h20a!F33</f>
        <v>31</v>
      </c>
      <c r="H38" s="119">
        <f>h20a!G33</f>
        <v>2</v>
      </c>
      <c r="I38" s="119">
        <f>h20a!H33</f>
        <v>0</v>
      </c>
      <c r="J38" s="119">
        <f>h20a!I33</f>
        <v>0</v>
      </c>
      <c r="K38" s="119">
        <f>h20a!J33</f>
        <v>5</v>
      </c>
      <c r="L38" s="119">
        <f>h20a!K33</f>
        <v>1</v>
      </c>
      <c r="M38" s="119">
        <f>h20a!L33</f>
        <v>8</v>
      </c>
      <c r="N38" s="119">
        <f>h20a!M33</f>
        <v>10</v>
      </c>
      <c r="O38" s="119">
        <f>h20a!N33</f>
        <v>6</v>
      </c>
      <c r="P38" s="119">
        <f>h20a!O33</f>
        <v>9</v>
      </c>
      <c r="Q38" s="119">
        <f>h20a!P33</f>
        <v>4</v>
      </c>
      <c r="R38" s="594">
        <f>h20a!Q33</f>
        <v>252</v>
      </c>
      <c r="S38" s="109">
        <f t="shared" si="0"/>
        <v>200</v>
      </c>
    </row>
    <row r="39" spans="1:19" x14ac:dyDescent="0.25">
      <c r="A39" s="573" t="s">
        <v>305</v>
      </c>
      <c r="B39" s="914" t="s">
        <v>58</v>
      </c>
      <c r="C39" s="119">
        <f>h20a!B34</f>
        <v>7</v>
      </c>
      <c r="D39" s="119">
        <f>h20a!C34</f>
        <v>56</v>
      </c>
      <c r="E39" s="119">
        <f>h20a!D34</f>
        <v>37</v>
      </c>
      <c r="F39" s="119">
        <f>h20a!E34</f>
        <v>2</v>
      </c>
      <c r="G39" s="119">
        <f>h20a!F34</f>
        <v>33</v>
      </c>
      <c r="H39" s="119">
        <f>h20a!G34</f>
        <v>4</v>
      </c>
      <c r="I39" s="119">
        <f>h20a!H34</f>
        <v>0</v>
      </c>
      <c r="J39" s="119">
        <f>h20a!I34</f>
        <v>1</v>
      </c>
      <c r="K39" s="119">
        <f>h20a!J34</f>
        <v>1</v>
      </c>
      <c r="L39" s="119">
        <f>h20a!K34</f>
        <v>36</v>
      </c>
      <c r="M39" s="119">
        <f>h20a!L34</f>
        <v>4</v>
      </c>
      <c r="N39" s="119">
        <f>h20a!M34</f>
        <v>4</v>
      </c>
      <c r="O39" s="119">
        <f>h20a!N34</f>
        <v>3</v>
      </c>
      <c r="P39" s="119">
        <f>h20a!O34</f>
        <v>2</v>
      </c>
      <c r="Q39" s="119">
        <f>h20a!P34</f>
        <v>3</v>
      </c>
      <c r="R39" s="594">
        <f>h20a!Q34</f>
        <v>193</v>
      </c>
      <c r="S39" s="109">
        <f t="shared" si="0"/>
        <v>156</v>
      </c>
    </row>
    <row r="40" spans="1:19" x14ac:dyDescent="0.25">
      <c r="A40" s="573" t="s">
        <v>311</v>
      </c>
      <c r="B40" s="914" t="s">
        <v>59</v>
      </c>
      <c r="C40" s="119">
        <f>h20a!B35</f>
        <v>5</v>
      </c>
      <c r="D40" s="119">
        <f>h20a!C35</f>
        <v>16</v>
      </c>
      <c r="E40" s="119">
        <f>h20a!D35</f>
        <v>17</v>
      </c>
      <c r="F40" s="119">
        <f>h20a!E35</f>
        <v>0</v>
      </c>
      <c r="G40" s="119">
        <f>h20a!F35</f>
        <v>13</v>
      </c>
      <c r="H40" s="119">
        <f>h20a!G35</f>
        <v>1</v>
      </c>
      <c r="I40" s="119">
        <f>h20a!H35</f>
        <v>0</v>
      </c>
      <c r="J40" s="119">
        <f>h20a!I35</f>
        <v>0</v>
      </c>
      <c r="K40" s="119">
        <f>h20a!J35</f>
        <v>2</v>
      </c>
      <c r="L40" s="119">
        <f>h20a!K35</f>
        <v>1</v>
      </c>
      <c r="M40" s="119">
        <f>h20a!L35</f>
        <v>6</v>
      </c>
      <c r="N40" s="119">
        <f>h20a!M35</f>
        <v>3</v>
      </c>
      <c r="O40" s="119">
        <f>h20a!N35</f>
        <v>6</v>
      </c>
      <c r="P40" s="119">
        <f>h20a!O35</f>
        <v>4</v>
      </c>
      <c r="Q40" s="119">
        <f>h20a!P35</f>
        <v>5</v>
      </c>
      <c r="R40" s="594">
        <f>h20a!Q35</f>
        <v>79</v>
      </c>
      <c r="S40" s="109">
        <f t="shared" si="0"/>
        <v>62</v>
      </c>
    </row>
    <row r="41" spans="1:19" x14ac:dyDescent="0.25">
      <c r="A41" s="573" t="s">
        <v>312</v>
      </c>
      <c r="B41" s="915" t="s">
        <v>60</v>
      </c>
      <c r="C41" s="119">
        <f>h20a!B36</f>
        <v>11</v>
      </c>
      <c r="D41" s="119">
        <f>h20a!C36</f>
        <v>60</v>
      </c>
      <c r="E41" s="119">
        <f>h20a!D36</f>
        <v>9</v>
      </c>
      <c r="F41" s="119">
        <f>h20a!E36</f>
        <v>0</v>
      </c>
      <c r="G41" s="119">
        <f>h20a!F36</f>
        <v>15</v>
      </c>
      <c r="H41" s="119">
        <f>h20a!G36</f>
        <v>1</v>
      </c>
      <c r="I41" s="119">
        <f>h20a!H36</f>
        <v>0</v>
      </c>
      <c r="J41" s="119">
        <f>h20a!I36</f>
        <v>8</v>
      </c>
      <c r="K41" s="119">
        <f>h20a!J36</f>
        <v>8</v>
      </c>
      <c r="L41" s="119">
        <f>h20a!K36</f>
        <v>28</v>
      </c>
      <c r="M41" s="119">
        <f>h20a!L36</f>
        <v>19</v>
      </c>
      <c r="N41" s="119">
        <f>h20a!M36</f>
        <v>17</v>
      </c>
      <c r="O41" s="119">
        <f>h20a!N36</f>
        <v>21</v>
      </c>
      <c r="P41" s="119">
        <f>h20a!O36</f>
        <v>11</v>
      </c>
      <c r="Q41" s="119">
        <f>h20a!P36</f>
        <v>5</v>
      </c>
      <c r="R41" s="594">
        <f>h20a!Q36</f>
        <v>213</v>
      </c>
      <c r="S41" s="109">
        <f t="shared" si="0"/>
        <v>204</v>
      </c>
    </row>
    <row r="42" spans="1:19" ht="23.25" customHeight="1" thickBot="1" x14ac:dyDescent="0.3">
      <c r="A42" s="278"/>
      <c r="B42" s="913" t="s">
        <v>840</v>
      </c>
      <c r="C42" s="329">
        <f>SUM(C10:C41)</f>
        <v>471</v>
      </c>
      <c r="D42" s="329">
        <f t="shared" ref="D42:O42" si="1">SUM(D10:D41)</f>
        <v>1775</v>
      </c>
      <c r="E42" s="329">
        <f t="shared" si="1"/>
        <v>1862</v>
      </c>
      <c r="F42" s="329">
        <f t="shared" si="1"/>
        <v>88</v>
      </c>
      <c r="G42" s="329">
        <f t="shared" si="1"/>
        <v>1030</v>
      </c>
      <c r="H42" s="329">
        <f t="shared" si="1"/>
        <v>323</v>
      </c>
      <c r="I42" s="329">
        <f t="shared" si="1"/>
        <v>31</v>
      </c>
      <c r="J42" s="329">
        <f t="shared" si="1"/>
        <v>60</v>
      </c>
      <c r="K42" s="329">
        <f t="shared" si="1"/>
        <v>374</v>
      </c>
      <c r="L42" s="329">
        <f t="shared" si="1"/>
        <v>470</v>
      </c>
      <c r="M42" s="329">
        <f t="shared" si="1"/>
        <v>382</v>
      </c>
      <c r="N42" s="329">
        <f t="shared" si="1"/>
        <v>283</v>
      </c>
      <c r="O42" s="329">
        <f t="shared" si="1"/>
        <v>267</v>
      </c>
      <c r="P42" s="329">
        <f>SUM(P10:P41)</f>
        <v>267</v>
      </c>
      <c r="Q42" s="329">
        <f>SUM(Q10:Q41)</f>
        <v>189</v>
      </c>
      <c r="R42" s="595">
        <f>SUM(R10:R41)</f>
        <v>7872</v>
      </c>
      <c r="S42" s="329">
        <f>SUM(S10:S41)</f>
        <v>6010</v>
      </c>
    </row>
    <row r="43" spans="1:19" x14ac:dyDescent="0.25">
      <c r="B43" s="16"/>
      <c r="C43" s="16"/>
      <c r="D43" s="16"/>
      <c r="E43" s="16"/>
      <c r="F43" s="16"/>
      <c r="G43" s="16"/>
      <c r="H43" s="16"/>
      <c r="I43" s="16"/>
      <c r="J43" s="16"/>
      <c r="K43" s="16"/>
      <c r="L43" s="16"/>
      <c r="M43" s="16"/>
      <c r="N43" s="16"/>
      <c r="O43" s="16"/>
      <c r="P43" s="16"/>
      <c r="Q43" s="16"/>
      <c r="R43" s="16"/>
      <c r="S43" s="16"/>
    </row>
    <row r="44" spans="1:19" x14ac:dyDescent="0.25">
      <c r="A44" s="912" t="s">
        <v>8</v>
      </c>
      <c r="B44" s="1040"/>
      <c r="C44" s="1040"/>
      <c r="D44" s="1040"/>
      <c r="E44" s="1040"/>
      <c r="F44" s="1040"/>
      <c r="G44" s="1040"/>
      <c r="H44" s="1040"/>
      <c r="I44" s="1040"/>
      <c r="J44" s="1040"/>
      <c r="K44" s="1040"/>
      <c r="L44" s="1040"/>
      <c r="M44" s="1040"/>
      <c r="N44" s="1040"/>
      <c r="O44" s="1040"/>
      <c r="P44" s="1040"/>
      <c r="Q44" s="1040"/>
      <c r="R44" s="1040"/>
      <c r="S44" s="1040"/>
    </row>
    <row r="45" spans="1:19" x14ac:dyDescent="0.25">
      <c r="A45" t="s">
        <v>661</v>
      </c>
      <c r="B45" s="511"/>
      <c r="C45" s="511"/>
      <c r="D45" s="511"/>
      <c r="E45" s="511"/>
      <c r="F45" s="511"/>
      <c r="G45" s="511"/>
      <c r="H45" s="511"/>
      <c r="I45" s="511"/>
      <c r="J45" s="511"/>
      <c r="K45" s="511"/>
      <c r="L45" s="511"/>
      <c r="M45" s="511"/>
      <c r="N45" s="511"/>
      <c r="O45" s="511"/>
      <c r="P45" s="511"/>
      <c r="Q45" s="511"/>
      <c r="R45" s="511"/>
      <c r="S45" s="511"/>
    </row>
  </sheetData>
  <sheetProtection algorithmName="SHA-512" hashValue="xrrgCa33/y8URpLv5bRjs5qWwyhwTAKeU8D9rYyksoIWPAq1ZDJ5tqQXgG8bNPV58B9M/z634Rc+Ta+skN2+OA==" saltValue="LzswEcx5XbOwfeqfmDqBQQ==" spinCount="100000" sheet="1" scenarios="1" pivotTables="0"/>
  <mergeCells count="2">
    <mergeCell ref="B44:S44"/>
    <mergeCell ref="A4:K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69" orientation="landscape" r:id="rId1"/>
  <drawing r:id="rId2"/>
  <extLst>
    <ext xmlns:x14="http://schemas.microsoft.com/office/spreadsheetml/2009/9/main" uri="{A8765BA9-456A-4dab-B4F3-ACF838C121DE}">
      <x14:slicerList>
        <x14:slicer r:id="rId3"/>
      </x14:slicerList>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3" tint="0.39997558519241921"/>
  </sheetPr>
  <dimension ref="A2:Q37"/>
  <sheetViews>
    <sheetView workbookViewId="0">
      <selection activeCell="Q33" sqref="Q33"/>
    </sheetView>
  </sheetViews>
  <sheetFormatPr defaultRowHeight="15" x14ac:dyDescent="0.25"/>
  <cols>
    <col min="1" max="1" width="21.85546875" bestFit="1" customWidth="1"/>
    <col min="2" max="2" width="22.5703125" bestFit="1" customWidth="1"/>
    <col min="3" max="3" width="17.5703125" bestFit="1" customWidth="1"/>
    <col min="4" max="4" width="12.140625" bestFit="1" customWidth="1"/>
    <col min="5" max="5" width="13.42578125" bestFit="1" customWidth="1"/>
    <col min="6" max="6" width="12.42578125" bestFit="1" customWidth="1"/>
    <col min="7" max="7" width="36.5703125" bestFit="1" customWidth="1"/>
    <col min="8" max="8" width="23.7109375" bestFit="1" customWidth="1"/>
    <col min="9" max="9" width="21" bestFit="1" customWidth="1"/>
    <col min="10" max="10" width="24.28515625" bestFit="1" customWidth="1"/>
    <col min="11" max="11" width="13.5703125" bestFit="1" customWidth="1"/>
    <col min="12" max="12" width="12" bestFit="1" customWidth="1"/>
    <col min="13" max="13" width="35.5703125" bestFit="1" customWidth="1"/>
    <col min="14" max="14" width="27.5703125" bestFit="1" customWidth="1"/>
    <col min="15" max="15" width="13.140625" bestFit="1" customWidth="1"/>
    <col min="16" max="16" width="23.140625" bestFit="1" customWidth="1"/>
    <col min="17" max="17" width="30.140625" bestFit="1" customWidth="1"/>
  </cols>
  <sheetData>
    <row r="2" spans="1:17" x14ac:dyDescent="0.25">
      <c r="A2" s="569" t="s">
        <v>334</v>
      </c>
      <c r="B2" t="s">
        <v>258</v>
      </c>
    </row>
    <row r="4" spans="1:17" x14ac:dyDescent="0.25">
      <c r="A4" s="569" t="s">
        <v>250</v>
      </c>
      <c r="B4" t="s">
        <v>425</v>
      </c>
      <c r="C4" t="s">
        <v>426</v>
      </c>
      <c r="D4" t="s">
        <v>427</v>
      </c>
      <c r="E4" t="s">
        <v>428</v>
      </c>
      <c r="F4" t="s">
        <v>429</v>
      </c>
      <c r="G4" t="s">
        <v>430</v>
      </c>
      <c r="H4" t="s">
        <v>431</v>
      </c>
      <c r="I4" t="s">
        <v>432</v>
      </c>
      <c r="J4" t="s">
        <v>433</v>
      </c>
      <c r="K4" t="s">
        <v>434</v>
      </c>
      <c r="L4" t="s">
        <v>435</v>
      </c>
      <c r="M4" t="s">
        <v>436</v>
      </c>
      <c r="N4" t="s">
        <v>437</v>
      </c>
      <c r="O4" t="s">
        <v>438</v>
      </c>
      <c r="P4" t="s">
        <v>439</v>
      </c>
      <c r="Q4" t="s">
        <v>440</v>
      </c>
    </row>
    <row r="5" spans="1:17" x14ac:dyDescent="0.25">
      <c r="A5" s="986" t="s">
        <v>31</v>
      </c>
      <c r="B5" s="571">
        <v>22</v>
      </c>
      <c r="C5" s="571">
        <v>113</v>
      </c>
      <c r="D5" s="571">
        <v>136</v>
      </c>
      <c r="E5" s="571">
        <v>2</v>
      </c>
      <c r="F5" s="571">
        <v>32</v>
      </c>
      <c r="G5" s="571">
        <v>1</v>
      </c>
      <c r="H5" s="571">
        <v>5</v>
      </c>
      <c r="I5" s="571">
        <v>2</v>
      </c>
      <c r="J5" s="571">
        <v>5</v>
      </c>
      <c r="K5" s="571">
        <v>9</v>
      </c>
      <c r="L5" s="571">
        <v>10</v>
      </c>
      <c r="M5" s="571">
        <v>6</v>
      </c>
      <c r="N5" s="571">
        <v>7</v>
      </c>
      <c r="O5" s="571">
        <v>6</v>
      </c>
      <c r="P5" s="571">
        <v>8</v>
      </c>
      <c r="Q5" s="571">
        <v>364</v>
      </c>
    </row>
    <row r="6" spans="1:17" x14ac:dyDescent="0.25">
      <c r="A6" s="986" t="s">
        <v>32</v>
      </c>
      <c r="B6" s="571">
        <v>26</v>
      </c>
      <c r="C6" s="571">
        <v>88</v>
      </c>
      <c r="D6" s="571">
        <v>48</v>
      </c>
      <c r="E6" s="571">
        <v>7</v>
      </c>
      <c r="F6" s="571">
        <v>73</v>
      </c>
      <c r="G6" s="571">
        <v>48</v>
      </c>
      <c r="H6" s="571">
        <v>3</v>
      </c>
      <c r="I6" s="571">
        <v>3</v>
      </c>
      <c r="J6" s="571">
        <v>13</v>
      </c>
      <c r="K6" s="571">
        <v>8</v>
      </c>
      <c r="L6" s="571">
        <v>13</v>
      </c>
      <c r="M6" s="571">
        <v>4</v>
      </c>
      <c r="N6" s="571">
        <v>21</v>
      </c>
      <c r="O6" s="571">
        <v>13</v>
      </c>
      <c r="P6" s="571">
        <v>5</v>
      </c>
      <c r="Q6" s="571">
        <v>373</v>
      </c>
    </row>
    <row r="7" spans="1:17" x14ac:dyDescent="0.25">
      <c r="A7" s="986" t="s">
        <v>33</v>
      </c>
      <c r="B7" s="571">
        <v>6</v>
      </c>
      <c r="C7" s="571">
        <v>39</v>
      </c>
      <c r="D7" s="571">
        <v>6</v>
      </c>
      <c r="E7" s="571"/>
      <c r="F7" s="571">
        <v>14</v>
      </c>
      <c r="G7" s="571">
        <v>6</v>
      </c>
      <c r="H7" s="571">
        <v>1</v>
      </c>
      <c r="I7" s="571">
        <v>5</v>
      </c>
      <c r="J7" s="571">
        <v>17</v>
      </c>
      <c r="K7" s="571">
        <v>4</v>
      </c>
      <c r="L7" s="571">
        <v>3</v>
      </c>
      <c r="M7" s="571">
        <v>13</v>
      </c>
      <c r="N7" s="571">
        <v>2</v>
      </c>
      <c r="O7" s="571">
        <v>3</v>
      </c>
      <c r="P7" s="571">
        <v>7</v>
      </c>
      <c r="Q7" s="571">
        <v>126</v>
      </c>
    </row>
    <row r="8" spans="1:17" x14ac:dyDescent="0.25">
      <c r="A8" s="986" t="s">
        <v>34</v>
      </c>
      <c r="B8" s="571">
        <v>3</v>
      </c>
      <c r="C8" s="571">
        <v>35</v>
      </c>
      <c r="D8" s="571">
        <v>34</v>
      </c>
      <c r="E8" s="571">
        <v>4</v>
      </c>
      <c r="F8" s="571">
        <v>60</v>
      </c>
      <c r="G8" s="571">
        <v>40</v>
      </c>
      <c r="H8" s="571">
        <v>1</v>
      </c>
      <c r="I8" s="571"/>
      <c r="J8" s="571">
        <v>5</v>
      </c>
      <c r="K8" s="571">
        <v>2</v>
      </c>
      <c r="L8" s="571">
        <v>12</v>
      </c>
      <c r="M8" s="571">
        <v>5</v>
      </c>
      <c r="N8" s="571">
        <v>8</v>
      </c>
      <c r="O8" s="571">
        <v>5</v>
      </c>
      <c r="P8" s="571">
        <v>6</v>
      </c>
      <c r="Q8" s="571">
        <v>220</v>
      </c>
    </row>
    <row r="9" spans="1:17" x14ac:dyDescent="0.25">
      <c r="A9" s="986" t="s">
        <v>262</v>
      </c>
      <c r="B9" s="571">
        <v>66</v>
      </c>
      <c r="C9" s="571">
        <v>120</v>
      </c>
      <c r="D9" s="571">
        <v>142</v>
      </c>
      <c r="E9" s="571">
        <v>21</v>
      </c>
      <c r="F9" s="571">
        <v>112</v>
      </c>
      <c r="G9" s="571">
        <v>23</v>
      </c>
      <c r="H9" s="571">
        <v>2</v>
      </c>
      <c r="I9" s="571">
        <v>5</v>
      </c>
      <c r="J9" s="571">
        <v>85</v>
      </c>
      <c r="K9" s="571">
        <v>16</v>
      </c>
      <c r="L9" s="571">
        <v>26</v>
      </c>
      <c r="M9" s="571">
        <v>40</v>
      </c>
      <c r="N9" s="571">
        <v>7</v>
      </c>
      <c r="O9" s="571">
        <v>41</v>
      </c>
      <c r="P9" s="571">
        <v>8</v>
      </c>
      <c r="Q9" s="571">
        <v>714</v>
      </c>
    </row>
    <row r="10" spans="1:17" x14ac:dyDescent="0.25">
      <c r="A10" s="986" t="s">
        <v>35</v>
      </c>
      <c r="B10" s="571">
        <v>5</v>
      </c>
      <c r="C10" s="571">
        <v>22</v>
      </c>
      <c r="D10" s="571">
        <v>8</v>
      </c>
      <c r="E10" s="571">
        <v>2</v>
      </c>
      <c r="F10" s="571">
        <v>3</v>
      </c>
      <c r="G10" s="571">
        <v>2</v>
      </c>
      <c r="H10" s="571"/>
      <c r="I10" s="571"/>
      <c r="J10" s="571">
        <v>1</v>
      </c>
      <c r="K10" s="571">
        <v>17</v>
      </c>
      <c r="L10" s="571"/>
      <c r="M10" s="571">
        <v>1</v>
      </c>
      <c r="N10" s="571">
        <v>7</v>
      </c>
      <c r="O10" s="571">
        <v>2</v>
      </c>
      <c r="P10" s="571"/>
      <c r="Q10" s="571">
        <v>70</v>
      </c>
    </row>
    <row r="11" spans="1:17" x14ac:dyDescent="0.25">
      <c r="A11" s="986" t="s">
        <v>36</v>
      </c>
      <c r="B11" s="571">
        <v>12</v>
      </c>
      <c r="C11" s="571">
        <v>77</v>
      </c>
      <c r="D11" s="571">
        <v>32</v>
      </c>
      <c r="E11" s="571">
        <v>7</v>
      </c>
      <c r="F11" s="571">
        <v>86</v>
      </c>
      <c r="G11" s="571">
        <v>16</v>
      </c>
      <c r="H11" s="571">
        <v>5</v>
      </c>
      <c r="I11" s="571">
        <v>10</v>
      </c>
      <c r="J11" s="571">
        <v>17</v>
      </c>
      <c r="K11" s="571">
        <v>55</v>
      </c>
      <c r="L11" s="571">
        <v>30</v>
      </c>
      <c r="M11" s="571">
        <v>29</v>
      </c>
      <c r="N11" s="571">
        <v>17</v>
      </c>
      <c r="O11" s="571">
        <v>34</v>
      </c>
      <c r="P11" s="571">
        <v>13</v>
      </c>
      <c r="Q11" s="571">
        <v>440</v>
      </c>
    </row>
    <row r="12" spans="1:17" x14ac:dyDescent="0.25">
      <c r="A12" s="986" t="s">
        <v>37</v>
      </c>
      <c r="B12" s="571">
        <v>14</v>
      </c>
      <c r="C12" s="571">
        <v>39</v>
      </c>
      <c r="D12" s="571">
        <v>280</v>
      </c>
      <c r="E12" s="571">
        <v>2</v>
      </c>
      <c r="F12" s="571">
        <v>15</v>
      </c>
      <c r="G12" s="571"/>
      <c r="H12" s="571"/>
      <c r="I12" s="571"/>
      <c r="J12" s="571">
        <v>10</v>
      </c>
      <c r="K12" s="571">
        <v>6</v>
      </c>
      <c r="L12" s="571">
        <v>5</v>
      </c>
      <c r="M12" s="571">
        <v>4</v>
      </c>
      <c r="N12" s="571">
        <v>1</v>
      </c>
      <c r="O12" s="571">
        <v>1</v>
      </c>
      <c r="P12" s="571">
        <v>4</v>
      </c>
      <c r="Q12" s="571">
        <v>381</v>
      </c>
    </row>
    <row r="13" spans="1:17" x14ac:dyDescent="0.25">
      <c r="A13" s="986" t="s">
        <v>38</v>
      </c>
      <c r="B13" s="571">
        <v>3</v>
      </c>
      <c r="C13" s="571">
        <v>57</v>
      </c>
      <c r="D13" s="571">
        <v>7</v>
      </c>
      <c r="E13" s="571"/>
      <c r="F13" s="571">
        <v>24</v>
      </c>
      <c r="G13" s="571">
        <v>8</v>
      </c>
      <c r="H13" s="571"/>
      <c r="I13" s="571"/>
      <c r="J13" s="571">
        <v>9</v>
      </c>
      <c r="K13" s="571">
        <v>8</v>
      </c>
      <c r="L13" s="571">
        <v>11</v>
      </c>
      <c r="M13" s="571">
        <v>6</v>
      </c>
      <c r="N13" s="571">
        <v>7</v>
      </c>
      <c r="O13" s="571">
        <v>3</v>
      </c>
      <c r="P13" s="571">
        <v>2</v>
      </c>
      <c r="Q13" s="571">
        <v>145</v>
      </c>
    </row>
    <row r="14" spans="1:17" x14ac:dyDescent="0.25">
      <c r="A14" s="986" t="s">
        <v>39</v>
      </c>
      <c r="B14" s="571">
        <v>2</v>
      </c>
      <c r="C14" s="571">
        <v>26</v>
      </c>
      <c r="D14" s="571">
        <v>19</v>
      </c>
      <c r="E14" s="571"/>
      <c r="F14" s="571">
        <v>5</v>
      </c>
      <c r="G14" s="571">
        <v>1</v>
      </c>
      <c r="H14" s="571">
        <v>2</v>
      </c>
      <c r="I14" s="571"/>
      <c r="J14" s="571">
        <v>7</v>
      </c>
      <c r="K14" s="571">
        <v>4</v>
      </c>
      <c r="L14" s="571">
        <v>12</v>
      </c>
      <c r="M14" s="571">
        <v>4</v>
      </c>
      <c r="N14" s="571"/>
      <c r="O14" s="571">
        <v>2</v>
      </c>
      <c r="P14" s="571"/>
      <c r="Q14" s="571">
        <v>84</v>
      </c>
    </row>
    <row r="15" spans="1:17" x14ac:dyDescent="0.25">
      <c r="A15" s="986" t="s">
        <v>40</v>
      </c>
      <c r="B15" s="571">
        <v>7</v>
      </c>
      <c r="C15" s="571">
        <v>29</v>
      </c>
      <c r="D15" s="571">
        <v>6</v>
      </c>
      <c r="E15" s="571">
        <v>9</v>
      </c>
      <c r="F15" s="571">
        <v>30</v>
      </c>
      <c r="G15" s="571">
        <v>11</v>
      </c>
      <c r="H15" s="571"/>
      <c r="I15" s="571">
        <v>1</v>
      </c>
      <c r="J15" s="571">
        <v>7</v>
      </c>
      <c r="K15" s="571">
        <v>16</v>
      </c>
      <c r="L15" s="571">
        <v>4</v>
      </c>
      <c r="M15" s="571">
        <v>13</v>
      </c>
      <c r="N15" s="571">
        <v>5</v>
      </c>
      <c r="O15" s="571">
        <v>9</v>
      </c>
      <c r="P15" s="571">
        <v>2</v>
      </c>
      <c r="Q15" s="571">
        <v>149</v>
      </c>
    </row>
    <row r="16" spans="1:17" x14ac:dyDescent="0.25">
      <c r="A16" s="986" t="s">
        <v>41</v>
      </c>
      <c r="B16" s="571">
        <v>1</v>
      </c>
      <c r="C16" s="571">
        <v>15</v>
      </c>
      <c r="D16" s="571"/>
      <c r="E16" s="571"/>
      <c r="F16" s="571">
        <v>6</v>
      </c>
      <c r="G16" s="571">
        <v>1</v>
      </c>
      <c r="H16" s="571">
        <v>1</v>
      </c>
      <c r="I16" s="571">
        <v>1</v>
      </c>
      <c r="J16" s="571">
        <v>2</v>
      </c>
      <c r="K16" s="571">
        <v>2</v>
      </c>
      <c r="L16" s="571">
        <v>1</v>
      </c>
      <c r="M16" s="571">
        <v>3</v>
      </c>
      <c r="N16" s="571">
        <v>2</v>
      </c>
      <c r="O16" s="571"/>
      <c r="P16" s="571">
        <v>1</v>
      </c>
      <c r="Q16" s="571">
        <v>36</v>
      </c>
    </row>
    <row r="17" spans="1:17" x14ac:dyDescent="0.25">
      <c r="A17" s="986" t="s">
        <v>42</v>
      </c>
      <c r="B17" s="571">
        <v>24</v>
      </c>
      <c r="C17" s="571">
        <v>46</v>
      </c>
      <c r="D17" s="571">
        <v>5</v>
      </c>
      <c r="E17" s="571">
        <v>1</v>
      </c>
      <c r="F17" s="571">
        <v>11</v>
      </c>
      <c r="G17" s="571">
        <v>18</v>
      </c>
      <c r="H17" s="571"/>
      <c r="I17" s="571">
        <v>6</v>
      </c>
      <c r="J17" s="571">
        <v>19</v>
      </c>
      <c r="K17" s="571">
        <v>26</v>
      </c>
      <c r="L17" s="571">
        <v>8</v>
      </c>
      <c r="M17" s="571">
        <v>9</v>
      </c>
      <c r="N17" s="571">
        <v>13</v>
      </c>
      <c r="O17" s="571">
        <v>10</v>
      </c>
      <c r="P17" s="571">
        <v>5</v>
      </c>
      <c r="Q17" s="571">
        <v>201</v>
      </c>
    </row>
    <row r="18" spans="1:17" x14ac:dyDescent="0.25">
      <c r="A18" s="986" t="s">
        <v>43</v>
      </c>
      <c r="B18" s="571">
        <v>29</v>
      </c>
      <c r="C18" s="571">
        <v>135</v>
      </c>
      <c r="D18" s="571">
        <v>214</v>
      </c>
      <c r="E18" s="571"/>
      <c r="F18" s="571">
        <v>85</v>
      </c>
      <c r="G18" s="571">
        <v>10</v>
      </c>
      <c r="H18" s="571"/>
      <c r="I18" s="571">
        <v>4</v>
      </c>
      <c r="J18" s="571">
        <v>12</v>
      </c>
      <c r="K18" s="571">
        <v>122</v>
      </c>
      <c r="L18" s="571">
        <v>9</v>
      </c>
      <c r="M18" s="571">
        <v>12</v>
      </c>
      <c r="N18" s="571">
        <v>10</v>
      </c>
      <c r="O18" s="571">
        <v>5</v>
      </c>
      <c r="P18" s="571">
        <v>10</v>
      </c>
      <c r="Q18" s="571">
        <v>657</v>
      </c>
    </row>
    <row r="19" spans="1:17" x14ac:dyDescent="0.25">
      <c r="A19" s="986" t="s">
        <v>124</v>
      </c>
      <c r="B19" s="571">
        <v>68</v>
      </c>
      <c r="C19" s="571">
        <v>127</v>
      </c>
      <c r="D19" s="571">
        <v>602</v>
      </c>
      <c r="E19" s="571">
        <v>13</v>
      </c>
      <c r="F19" s="571">
        <v>102</v>
      </c>
      <c r="G19" s="571">
        <v>1</v>
      </c>
      <c r="H19" s="571">
        <v>7</v>
      </c>
      <c r="I19" s="571">
        <v>2</v>
      </c>
      <c r="J19" s="571">
        <v>51</v>
      </c>
      <c r="K19" s="571">
        <v>18</v>
      </c>
      <c r="L19" s="571">
        <v>57</v>
      </c>
      <c r="M19" s="571">
        <v>26</v>
      </c>
      <c r="N19" s="571">
        <v>10</v>
      </c>
      <c r="O19" s="571">
        <v>24</v>
      </c>
      <c r="P19" s="571">
        <v>18</v>
      </c>
      <c r="Q19" s="571">
        <v>1126</v>
      </c>
    </row>
    <row r="20" spans="1:17" x14ac:dyDescent="0.25">
      <c r="A20" s="986" t="s">
        <v>44</v>
      </c>
      <c r="B20" s="571">
        <v>15</v>
      </c>
      <c r="C20" s="571">
        <v>81</v>
      </c>
      <c r="D20" s="571">
        <v>45</v>
      </c>
      <c r="E20" s="571">
        <v>2</v>
      </c>
      <c r="F20" s="571">
        <v>25</v>
      </c>
      <c r="G20" s="571">
        <v>3</v>
      </c>
      <c r="H20" s="571"/>
      <c r="I20" s="571">
        <v>1</v>
      </c>
      <c r="J20" s="571">
        <v>5</v>
      </c>
      <c r="K20" s="571">
        <v>4</v>
      </c>
      <c r="L20" s="571">
        <v>4</v>
      </c>
      <c r="M20" s="571">
        <v>3</v>
      </c>
      <c r="N20" s="571">
        <v>4</v>
      </c>
      <c r="O20" s="571">
        <v>3</v>
      </c>
      <c r="P20" s="571">
        <v>1</v>
      </c>
      <c r="Q20" s="571">
        <v>196</v>
      </c>
    </row>
    <row r="21" spans="1:17" x14ac:dyDescent="0.25">
      <c r="A21" s="986" t="s">
        <v>45</v>
      </c>
      <c r="B21" s="571">
        <v>2</v>
      </c>
      <c r="C21" s="571">
        <v>35</v>
      </c>
      <c r="D21" s="571">
        <v>7</v>
      </c>
      <c r="E21" s="571"/>
      <c r="F21" s="571">
        <v>6</v>
      </c>
      <c r="G21" s="571"/>
      <c r="H21" s="571">
        <v>1</v>
      </c>
      <c r="I21" s="571"/>
      <c r="J21" s="571">
        <v>3</v>
      </c>
      <c r="K21" s="571">
        <v>10</v>
      </c>
      <c r="L21" s="571">
        <v>3</v>
      </c>
      <c r="M21" s="571">
        <v>3</v>
      </c>
      <c r="N21" s="571">
        <v>2</v>
      </c>
      <c r="O21" s="571">
        <v>2</v>
      </c>
      <c r="P21" s="571">
        <v>4</v>
      </c>
      <c r="Q21" s="571">
        <v>78</v>
      </c>
    </row>
    <row r="22" spans="1:17" x14ac:dyDescent="0.25">
      <c r="A22" s="986" t="s">
        <v>46</v>
      </c>
      <c r="B22" s="571">
        <v>3</v>
      </c>
      <c r="C22" s="571">
        <v>19</v>
      </c>
      <c r="D22" s="571">
        <v>17</v>
      </c>
      <c r="E22" s="571">
        <v>2</v>
      </c>
      <c r="F22" s="571">
        <v>13</v>
      </c>
      <c r="G22" s="571">
        <v>2</v>
      </c>
      <c r="H22" s="571">
        <v>2</v>
      </c>
      <c r="I22" s="571">
        <v>2</v>
      </c>
      <c r="J22" s="571">
        <v>20</v>
      </c>
      <c r="K22" s="571">
        <v>12</v>
      </c>
      <c r="L22" s="571">
        <v>22</v>
      </c>
      <c r="M22" s="571">
        <v>3</v>
      </c>
      <c r="N22" s="571">
        <v>6</v>
      </c>
      <c r="O22" s="571">
        <v>4</v>
      </c>
      <c r="P22" s="571">
        <v>11</v>
      </c>
      <c r="Q22" s="571">
        <v>138</v>
      </c>
    </row>
    <row r="23" spans="1:17" x14ac:dyDescent="0.25">
      <c r="A23" s="986" t="s">
        <v>47</v>
      </c>
      <c r="B23" s="571">
        <v>8</v>
      </c>
      <c r="C23" s="571">
        <v>31</v>
      </c>
      <c r="D23" s="571">
        <v>9</v>
      </c>
      <c r="E23" s="571">
        <v>1</v>
      </c>
      <c r="F23" s="571">
        <v>11</v>
      </c>
      <c r="G23" s="571">
        <v>28</v>
      </c>
      <c r="H23" s="571"/>
      <c r="I23" s="571">
        <v>1</v>
      </c>
      <c r="J23" s="571">
        <v>4</v>
      </c>
      <c r="K23" s="571">
        <v>3</v>
      </c>
      <c r="L23" s="571">
        <v>14</v>
      </c>
      <c r="M23" s="571">
        <v>2</v>
      </c>
      <c r="N23" s="571">
        <v>7</v>
      </c>
      <c r="O23" s="571">
        <v>8</v>
      </c>
      <c r="P23" s="571">
        <v>3</v>
      </c>
      <c r="Q23" s="571">
        <v>130</v>
      </c>
    </row>
    <row r="24" spans="1:17" x14ac:dyDescent="0.25">
      <c r="A24" s="986" t="s">
        <v>48</v>
      </c>
      <c r="B24" s="571">
        <v>2</v>
      </c>
      <c r="C24" s="571">
        <v>6</v>
      </c>
      <c r="D24" s="571"/>
      <c r="E24" s="571"/>
      <c r="F24" s="571">
        <v>8</v>
      </c>
      <c r="G24" s="571"/>
      <c r="H24" s="571"/>
      <c r="I24" s="571"/>
      <c r="J24" s="571">
        <v>1</v>
      </c>
      <c r="K24" s="571">
        <v>1</v>
      </c>
      <c r="L24" s="571"/>
      <c r="M24" s="571"/>
      <c r="N24" s="571">
        <v>2</v>
      </c>
      <c r="O24" s="571">
        <v>1</v>
      </c>
      <c r="P24" s="571"/>
      <c r="Q24" s="571">
        <v>21</v>
      </c>
    </row>
    <row r="25" spans="1:17" x14ac:dyDescent="0.25">
      <c r="A25" s="986" t="s">
        <v>49</v>
      </c>
      <c r="B25" s="571">
        <v>2</v>
      </c>
      <c r="C25" s="571">
        <v>100</v>
      </c>
      <c r="D25" s="571">
        <v>9</v>
      </c>
      <c r="E25" s="571">
        <v>2</v>
      </c>
      <c r="F25" s="571">
        <v>31</v>
      </c>
      <c r="G25" s="571">
        <v>19</v>
      </c>
      <c r="H25" s="571">
        <v>1</v>
      </c>
      <c r="I25" s="571"/>
      <c r="J25" s="571">
        <v>3</v>
      </c>
      <c r="K25" s="571">
        <v>4</v>
      </c>
      <c r="L25" s="571">
        <v>23</v>
      </c>
      <c r="M25" s="571">
        <v>3</v>
      </c>
      <c r="N25" s="571">
        <v>27</v>
      </c>
      <c r="O25" s="571">
        <v>7</v>
      </c>
      <c r="P25" s="571">
        <v>13</v>
      </c>
      <c r="Q25" s="571">
        <v>244</v>
      </c>
    </row>
    <row r="26" spans="1:17" x14ac:dyDescent="0.25">
      <c r="A26" s="986" t="s">
        <v>50</v>
      </c>
      <c r="B26" s="571">
        <v>9</v>
      </c>
      <c r="C26" s="571">
        <v>58</v>
      </c>
      <c r="D26" s="571">
        <v>24</v>
      </c>
      <c r="E26" s="571"/>
      <c r="F26" s="571">
        <v>29</v>
      </c>
      <c r="G26" s="571">
        <v>3</v>
      </c>
      <c r="H26" s="571"/>
      <c r="I26" s="571">
        <v>1</v>
      </c>
      <c r="J26" s="571">
        <v>24</v>
      </c>
      <c r="K26" s="571">
        <v>17</v>
      </c>
      <c r="L26" s="571">
        <v>41</v>
      </c>
      <c r="M26" s="571">
        <v>28</v>
      </c>
      <c r="N26" s="571">
        <v>17</v>
      </c>
      <c r="O26" s="571">
        <v>35</v>
      </c>
      <c r="P26" s="571">
        <v>21</v>
      </c>
      <c r="Q26" s="571">
        <v>307</v>
      </c>
    </row>
    <row r="27" spans="1:17" x14ac:dyDescent="0.25">
      <c r="A27" s="986" t="s">
        <v>51</v>
      </c>
      <c r="B27" s="571"/>
      <c r="C27" s="571">
        <v>3</v>
      </c>
      <c r="D27" s="571"/>
      <c r="E27" s="571"/>
      <c r="F27" s="571">
        <v>5</v>
      </c>
      <c r="G27" s="571"/>
      <c r="H27" s="571"/>
      <c r="I27" s="571"/>
      <c r="J27" s="571"/>
      <c r="K27" s="571"/>
      <c r="L27" s="571"/>
      <c r="M27" s="571"/>
      <c r="N27" s="571"/>
      <c r="O27" s="571"/>
      <c r="P27" s="571">
        <v>1</v>
      </c>
      <c r="Q27" s="571">
        <v>9</v>
      </c>
    </row>
    <row r="28" spans="1:17" x14ac:dyDescent="0.25">
      <c r="A28" s="986" t="s">
        <v>52</v>
      </c>
      <c r="B28" s="571">
        <v>69</v>
      </c>
      <c r="C28" s="571">
        <v>86</v>
      </c>
      <c r="D28" s="571">
        <v>18</v>
      </c>
      <c r="E28" s="571">
        <v>7</v>
      </c>
      <c r="F28" s="571">
        <v>48</v>
      </c>
      <c r="G28" s="571">
        <v>30</v>
      </c>
      <c r="H28" s="571"/>
      <c r="I28" s="571">
        <v>1</v>
      </c>
      <c r="J28" s="571">
        <v>5</v>
      </c>
      <c r="K28" s="571">
        <v>2</v>
      </c>
      <c r="L28" s="571">
        <v>8</v>
      </c>
      <c r="M28" s="571">
        <v>5</v>
      </c>
      <c r="N28" s="571">
        <v>7</v>
      </c>
      <c r="O28" s="571">
        <v>3</v>
      </c>
      <c r="P28" s="571">
        <v>4</v>
      </c>
      <c r="Q28" s="571">
        <v>293</v>
      </c>
    </row>
    <row r="29" spans="1:17" x14ac:dyDescent="0.25">
      <c r="A29" s="986" t="s">
        <v>53</v>
      </c>
      <c r="B29" s="571">
        <v>1</v>
      </c>
      <c r="C29" s="571">
        <v>58</v>
      </c>
      <c r="D29" s="571">
        <v>17</v>
      </c>
      <c r="E29" s="571"/>
      <c r="F29" s="571">
        <v>20</v>
      </c>
      <c r="G29" s="571">
        <v>14</v>
      </c>
      <c r="H29" s="571"/>
      <c r="I29" s="571">
        <v>3</v>
      </c>
      <c r="J29" s="571">
        <v>10</v>
      </c>
      <c r="K29" s="571">
        <v>4</v>
      </c>
      <c r="L29" s="571">
        <v>5</v>
      </c>
      <c r="M29" s="571">
        <v>5</v>
      </c>
      <c r="N29" s="571">
        <v>16</v>
      </c>
      <c r="O29" s="571">
        <v>6</v>
      </c>
      <c r="P29" s="571">
        <v>10</v>
      </c>
      <c r="Q29" s="571">
        <v>169</v>
      </c>
    </row>
    <row r="30" spans="1:17" x14ac:dyDescent="0.25">
      <c r="A30" s="986" t="s">
        <v>54</v>
      </c>
      <c r="B30" s="571">
        <v>15</v>
      </c>
      <c r="C30" s="571">
        <v>36</v>
      </c>
      <c r="D30" s="571">
        <v>31</v>
      </c>
      <c r="E30" s="571">
        <v>1</v>
      </c>
      <c r="F30" s="571">
        <v>44</v>
      </c>
      <c r="G30" s="571">
        <v>23</v>
      </c>
      <c r="H30" s="571"/>
      <c r="I30" s="571"/>
      <c r="J30" s="571">
        <v>11</v>
      </c>
      <c r="K30" s="571">
        <v>15</v>
      </c>
      <c r="L30" s="571">
        <v>11</v>
      </c>
      <c r="M30" s="571">
        <v>16</v>
      </c>
      <c r="N30" s="571">
        <v>9</v>
      </c>
      <c r="O30" s="571">
        <v>3</v>
      </c>
      <c r="P30" s="571">
        <v>4</v>
      </c>
      <c r="Q30" s="571">
        <v>219</v>
      </c>
    </row>
    <row r="31" spans="1:17" x14ac:dyDescent="0.25">
      <c r="A31" s="986" t="s">
        <v>55</v>
      </c>
      <c r="B31" s="571"/>
      <c r="C31" s="571">
        <v>8</v>
      </c>
      <c r="D31" s="571">
        <v>3</v>
      </c>
      <c r="E31" s="571"/>
      <c r="F31" s="571">
        <v>2</v>
      </c>
      <c r="G31" s="571"/>
      <c r="H31" s="571"/>
      <c r="I31" s="571">
        <v>1</v>
      </c>
      <c r="J31" s="571">
        <v>1</v>
      </c>
      <c r="K31" s="571"/>
      <c r="L31" s="571"/>
      <c r="M31" s="571"/>
      <c r="N31" s="571"/>
      <c r="O31" s="571"/>
      <c r="P31" s="571">
        <v>1</v>
      </c>
      <c r="Q31" s="571">
        <v>16</v>
      </c>
    </row>
    <row r="32" spans="1:17" x14ac:dyDescent="0.25">
      <c r="A32" s="986" t="s">
        <v>56</v>
      </c>
      <c r="B32" s="571">
        <v>8</v>
      </c>
      <c r="C32" s="571">
        <v>56</v>
      </c>
      <c r="D32" s="571">
        <v>28</v>
      </c>
      <c r="E32" s="571">
        <v>3</v>
      </c>
      <c r="F32" s="571">
        <v>38</v>
      </c>
      <c r="G32" s="571">
        <v>7</v>
      </c>
      <c r="H32" s="571"/>
      <c r="I32" s="571">
        <v>2</v>
      </c>
      <c r="J32" s="571">
        <v>11</v>
      </c>
      <c r="K32" s="571">
        <v>19</v>
      </c>
      <c r="L32" s="571">
        <v>13</v>
      </c>
      <c r="M32" s="571">
        <v>6</v>
      </c>
      <c r="N32" s="571">
        <v>17</v>
      </c>
      <c r="O32" s="571">
        <v>11</v>
      </c>
      <c r="P32" s="571">
        <v>10</v>
      </c>
      <c r="Q32" s="571">
        <v>229</v>
      </c>
    </row>
    <row r="33" spans="1:17" x14ac:dyDescent="0.25">
      <c r="A33" s="986" t="s">
        <v>57</v>
      </c>
      <c r="B33" s="571">
        <v>26</v>
      </c>
      <c r="C33" s="571">
        <v>98</v>
      </c>
      <c r="D33" s="571">
        <v>52</v>
      </c>
      <c r="E33" s="571"/>
      <c r="F33" s="571">
        <v>31</v>
      </c>
      <c r="G33" s="571">
        <v>2</v>
      </c>
      <c r="H33" s="571"/>
      <c r="I33" s="571"/>
      <c r="J33" s="571">
        <v>5</v>
      </c>
      <c r="K33" s="571">
        <v>1</v>
      </c>
      <c r="L33" s="571">
        <v>8</v>
      </c>
      <c r="M33" s="571">
        <v>10</v>
      </c>
      <c r="N33" s="571">
        <v>6</v>
      </c>
      <c r="O33" s="571">
        <v>9</v>
      </c>
      <c r="P33" s="571">
        <v>4</v>
      </c>
      <c r="Q33" s="571">
        <v>252</v>
      </c>
    </row>
    <row r="34" spans="1:17" x14ac:dyDescent="0.25">
      <c r="A34" s="986" t="s">
        <v>58</v>
      </c>
      <c r="B34" s="571">
        <v>7</v>
      </c>
      <c r="C34" s="571">
        <v>56</v>
      </c>
      <c r="D34" s="571">
        <v>37</v>
      </c>
      <c r="E34" s="571">
        <v>2</v>
      </c>
      <c r="F34" s="571">
        <v>33</v>
      </c>
      <c r="G34" s="571">
        <v>4</v>
      </c>
      <c r="H34" s="571"/>
      <c r="I34" s="571">
        <v>1</v>
      </c>
      <c r="J34" s="571">
        <v>1</v>
      </c>
      <c r="K34" s="571">
        <v>36</v>
      </c>
      <c r="L34" s="571">
        <v>4</v>
      </c>
      <c r="M34" s="571">
        <v>4</v>
      </c>
      <c r="N34" s="571">
        <v>3</v>
      </c>
      <c r="O34" s="571">
        <v>2</v>
      </c>
      <c r="P34" s="571">
        <v>3</v>
      </c>
      <c r="Q34" s="571">
        <v>193</v>
      </c>
    </row>
    <row r="35" spans="1:17" x14ac:dyDescent="0.25">
      <c r="A35" s="986" t="s">
        <v>59</v>
      </c>
      <c r="B35" s="571">
        <v>5</v>
      </c>
      <c r="C35" s="571">
        <v>16</v>
      </c>
      <c r="D35" s="571">
        <v>17</v>
      </c>
      <c r="E35" s="571"/>
      <c r="F35" s="571">
        <v>13</v>
      </c>
      <c r="G35" s="571">
        <v>1</v>
      </c>
      <c r="H35" s="571"/>
      <c r="I35" s="571"/>
      <c r="J35" s="571">
        <v>2</v>
      </c>
      <c r="K35" s="571">
        <v>1</v>
      </c>
      <c r="L35" s="571">
        <v>6</v>
      </c>
      <c r="M35" s="571">
        <v>3</v>
      </c>
      <c r="N35" s="571">
        <v>6</v>
      </c>
      <c r="O35" s="571">
        <v>4</v>
      </c>
      <c r="P35" s="571">
        <v>5</v>
      </c>
      <c r="Q35" s="571">
        <v>79</v>
      </c>
    </row>
    <row r="36" spans="1:17" x14ac:dyDescent="0.25">
      <c r="A36" s="986" t="s">
        <v>60</v>
      </c>
      <c r="B36" s="571">
        <v>11</v>
      </c>
      <c r="C36" s="571">
        <v>60</v>
      </c>
      <c r="D36" s="571">
        <v>9</v>
      </c>
      <c r="E36" s="571"/>
      <c r="F36" s="571">
        <v>15</v>
      </c>
      <c r="G36" s="571">
        <v>1</v>
      </c>
      <c r="H36" s="571"/>
      <c r="I36" s="571">
        <v>8</v>
      </c>
      <c r="J36" s="571">
        <v>8</v>
      </c>
      <c r="K36" s="571">
        <v>28</v>
      </c>
      <c r="L36" s="571">
        <v>19</v>
      </c>
      <c r="M36" s="571">
        <v>17</v>
      </c>
      <c r="N36" s="571">
        <v>21</v>
      </c>
      <c r="O36" s="571">
        <v>11</v>
      </c>
      <c r="P36" s="571">
        <v>5</v>
      </c>
      <c r="Q36" s="571">
        <v>213</v>
      </c>
    </row>
    <row r="37" spans="1:17" x14ac:dyDescent="0.25">
      <c r="A37" s="986" t="s">
        <v>255</v>
      </c>
      <c r="B37" s="571">
        <v>471</v>
      </c>
      <c r="C37" s="571">
        <v>1775</v>
      </c>
      <c r="D37" s="571">
        <v>1862</v>
      </c>
      <c r="E37" s="571">
        <v>88</v>
      </c>
      <c r="F37" s="571">
        <v>1030</v>
      </c>
      <c r="G37" s="571">
        <v>323</v>
      </c>
      <c r="H37" s="571">
        <v>31</v>
      </c>
      <c r="I37" s="571">
        <v>60</v>
      </c>
      <c r="J37" s="571">
        <v>374</v>
      </c>
      <c r="K37" s="571">
        <v>470</v>
      </c>
      <c r="L37" s="571">
        <v>382</v>
      </c>
      <c r="M37" s="571">
        <v>283</v>
      </c>
      <c r="N37" s="571">
        <v>267</v>
      </c>
      <c r="O37" s="571">
        <v>267</v>
      </c>
      <c r="P37" s="571">
        <v>189</v>
      </c>
      <c r="Q37" s="571">
        <v>7872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3" tint="0.39997558519241921"/>
    <pageSetUpPr fitToPage="1"/>
  </sheetPr>
  <dimension ref="A1:Q55"/>
  <sheetViews>
    <sheetView showGridLines="0" workbookViewId="0">
      <pane ySplit="2" topLeftCell="A3" activePane="bottomLeft" state="frozen"/>
      <selection sqref="A1:C1"/>
      <selection pane="bottomLeft" sqref="A1:C1"/>
    </sheetView>
  </sheetViews>
  <sheetFormatPr defaultRowHeight="15" x14ac:dyDescent="0.25"/>
  <cols>
    <col min="1" max="1" width="31.140625" customWidth="1"/>
    <col min="3" max="3" width="8.7109375" bestFit="1" customWidth="1"/>
    <col min="4" max="4" width="10" customWidth="1"/>
    <col min="5" max="5" width="10.5703125" customWidth="1"/>
    <col min="7" max="7" width="8.5703125" customWidth="1"/>
    <col min="9" max="9" width="9.85546875" customWidth="1"/>
    <col min="12" max="12" width="14.7109375" customWidth="1"/>
    <col min="13" max="14" width="13.85546875" customWidth="1"/>
    <col min="15" max="15" width="12.85546875" customWidth="1"/>
    <col min="16" max="16" width="13" customWidth="1"/>
  </cols>
  <sheetData>
    <row r="1" spans="1:16" ht="15.75" x14ac:dyDescent="0.25">
      <c r="A1" s="822" t="s">
        <v>655</v>
      </c>
    </row>
    <row r="2" spans="1:16" x14ac:dyDescent="0.25">
      <c r="A2" s="790" t="s">
        <v>598</v>
      </c>
    </row>
    <row r="3" spans="1:16" x14ac:dyDescent="0.25">
      <c r="A3" s="31"/>
    </row>
    <row r="4" spans="1:16" ht="15.75" customHeight="1" x14ac:dyDescent="0.25">
      <c r="A4" s="1012" t="s">
        <v>666</v>
      </c>
      <c r="B4" s="1012"/>
      <c r="C4" s="1012"/>
      <c r="D4" s="1012"/>
      <c r="E4" s="1012"/>
      <c r="F4" s="1012"/>
      <c r="G4" s="1012"/>
      <c r="H4" s="1012"/>
      <c r="I4" s="1012"/>
      <c r="J4" s="1012"/>
      <c r="K4" s="1012"/>
      <c r="L4" s="1012"/>
      <c r="M4" s="1012"/>
      <c r="N4" s="1012"/>
      <c r="O4" s="1012"/>
    </row>
    <row r="5" spans="1:16" ht="15.75" x14ac:dyDescent="0.25">
      <c r="A5" t="s">
        <v>368</v>
      </c>
      <c r="B5" t="s">
        <v>818</v>
      </c>
      <c r="C5" s="802"/>
      <c r="D5" s="802"/>
      <c r="E5" s="802"/>
      <c r="F5" s="802"/>
      <c r="G5" s="802"/>
      <c r="H5" s="802"/>
      <c r="I5" s="802"/>
      <c r="J5" s="802"/>
      <c r="K5" s="802"/>
    </row>
    <row r="6" spans="1:16" ht="15.75" x14ac:dyDescent="0.25">
      <c r="A6" t="s">
        <v>369</v>
      </c>
      <c r="B6" t="s">
        <v>371</v>
      </c>
      <c r="C6" s="802"/>
      <c r="D6" s="802"/>
      <c r="E6" s="802"/>
      <c r="F6" s="802"/>
      <c r="G6" s="802"/>
      <c r="H6" s="802"/>
      <c r="I6" s="802"/>
      <c r="J6" s="802"/>
      <c r="K6" s="802"/>
    </row>
    <row r="7" spans="1:16" ht="15.75" x14ac:dyDescent="0.25">
      <c r="A7" t="s">
        <v>370</v>
      </c>
      <c r="B7" t="s">
        <v>372</v>
      </c>
      <c r="C7" s="802"/>
      <c r="D7" s="802"/>
      <c r="E7" s="802"/>
      <c r="F7" s="802"/>
      <c r="G7" s="802"/>
      <c r="H7" s="802"/>
      <c r="I7" s="802"/>
      <c r="J7" s="802"/>
      <c r="K7" s="802"/>
      <c r="L7" s="31"/>
      <c r="M7" s="31"/>
      <c r="N7" s="31"/>
      <c r="O7" s="31"/>
    </row>
    <row r="9" spans="1:16" ht="30" customHeight="1" x14ac:dyDescent="0.25">
      <c r="A9" s="30"/>
      <c r="B9" s="1042" t="s">
        <v>663</v>
      </c>
      <c r="C9" s="1042"/>
      <c r="D9" s="1042" t="s">
        <v>664</v>
      </c>
      <c r="E9" s="1042"/>
      <c r="F9" s="1042" t="s">
        <v>165</v>
      </c>
      <c r="G9" s="1042"/>
      <c r="H9" s="1042" t="s">
        <v>166</v>
      </c>
      <c r="I9" s="1042"/>
      <c r="J9" s="1042" t="s">
        <v>167</v>
      </c>
      <c r="K9" s="1042"/>
      <c r="L9" s="930"/>
      <c r="M9" s="1043" t="s">
        <v>168</v>
      </c>
      <c r="N9" s="1043"/>
      <c r="O9" s="1043"/>
    </row>
    <row r="10" spans="1:16" ht="39" x14ac:dyDescent="0.25">
      <c r="A10" s="331" t="s">
        <v>1</v>
      </c>
      <c r="B10" s="332" t="s">
        <v>6</v>
      </c>
      <c r="C10" s="332" t="s">
        <v>169</v>
      </c>
      <c r="D10" s="332" t="s">
        <v>6</v>
      </c>
      <c r="E10" s="332" t="s">
        <v>169</v>
      </c>
      <c r="F10" s="333" t="s">
        <v>170</v>
      </c>
      <c r="G10" s="315" t="s">
        <v>169</v>
      </c>
      <c r="H10" s="332" t="s">
        <v>6</v>
      </c>
      <c r="I10" s="332" t="s">
        <v>169</v>
      </c>
      <c r="J10" s="332" t="s">
        <v>6</v>
      </c>
      <c r="K10" s="332" t="s">
        <v>169</v>
      </c>
      <c r="L10" s="925" t="s">
        <v>665</v>
      </c>
      <c r="M10" s="916" t="s">
        <v>663</v>
      </c>
      <c r="N10" s="334" t="s">
        <v>664</v>
      </c>
      <c r="O10" s="334" t="s">
        <v>172</v>
      </c>
      <c r="P10" s="473" t="s">
        <v>197</v>
      </c>
    </row>
    <row r="11" spans="1:16" x14ac:dyDescent="0.25">
      <c r="A11" s="335" t="str">
        <f>'T21'!A5</f>
        <v>2009-10</v>
      </c>
      <c r="B11" s="336">
        <f>'T21'!B5</f>
        <v>3797</v>
      </c>
      <c r="C11" s="336">
        <f>'T21'!C5</f>
        <v>14034</v>
      </c>
      <c r="D11" s="336">
        <f>'T21'!D5</f>
        <v>2264</v>
      </c>
      <c r="E11" s="336">
        <f>'T21'!E5</f>
        <v>10793</v>
      </c>
      <c r="F11" s="337">
        <f t="shared" ref="F11:F17" si="0">B11+D11</f>
        <v>6061</v>
      </c>
      <c r="G11" s="337">
        <f t="shared" ref="G11:G17" si="1">E11+C11</f>
        <v>24827</v>
      </c>
      <c r="H11" s="336">
        <f>'T21'!F5</f>
        <v>58</v>
      </c>
      <c r="I11" s="336">
        <f>'T21'!G5</f>
        <v>300</v>
      </c>
      <c r="J11" s="336">
        <f>'T21'!H5</f>
        <v>20</v>
      </c>
      <c r="K11" s="336">
        <f>'T21'!I5</f>
        <v>127</v>
      </c>
      <c r="L11" s="926">
        <f>B11/F11*100</f>
        <v>62.646427982181166</v>
      </c>
      <c r="M11" s="928">
        <f>C11/B11</f>
        <v>3.6960758493547536</v>
      </c>
      <c r="N11" s="120">
        <f>E11/D11</f>
        <v>4.7672261484098941</v>
      </c>
      <c r="O11" s="338">
        <f>I11/H11</f>
        <v>5.1724137931034484</v>
      </c>
      <c r="P11" s="338">
        <f>K11/J11</f>
        <v>6.35</v>
      </c>
    </row>
    <row r="12" spans="1:16" x14ac:dyDescent="0.25">
      <c r="A12" s="5" t="str">
        <f>'T21'!A6</f>
        <v>2010-11</v>
      </c>
      <c r="B12" s="336">
        <f>'T21'!B6</f>
        <v>4947</v>
      </c>
      <c r="C12" s="336">
        <f>'T21'!C6</f>
        <v>29138</v>
      </c>
      <c r="D12" s="336">
        <f>'T21'!D6</f>
        <v>1797</v>
      </c>
      <c r="E12" s="336">
        <f>'T21'!E6</f>
        <v>11747</v>
      </c>
      <c r="F12" s="337">
        <f t="shared" si="0"/>
        <v>6744</v>
      </c>
      <c r="G12" s="337">
        <f t="shared" si="1"/>
        <v>40885</v>
      </c>
      <c r="H12" s="336">
        <f>'T21'!F6</f>
        <v>55</v>
      </c>
      <c r="I12" s="336">
        <f>'T21'!G6</f>
        <v>453</v>
      </c>
      <c r="J12" s="336">
        <f>'T21'!H6</f>
        <v>13</v>
      </c>
      <c r="K12" s="336">
        <f>'T21'!I6</f>
        <v>94</v>
      </c>
      <c r="L12" s="926">
        <f>B12/F12*100</f>
        <v>73.354092526690394</v>
      </c>
      <c r="M12" s="928">
        <f>C12/B12</f>
        <v>5.8900343642611688</v>
      </c>
      <c r="N12" s="120">
        <f>E12/D12</f>
        <v>6.5370061213132997</v>
      </c>
      <c r="O12" s="338">
        <f>I12/H12</f>
        <v>8.2363636363636363</v>
      </c>
      <c r="P12" s="338">
        <f>K12/J12</f>
        <v>7.2307692307692308</v>
      </c>
    </row>
    <row r="13" spans="1:16" x14ac:dyDescent="0.25">
      <c r="A13" s="335" t="str">
        <f>'T21'!A7</f>
        <v>2011-12</v>
      </c>
      <c r="B13" s="336">
        <f>'T21'!B7</f>
        <v>6829</v>
      </c>
      <c r="C13" s="336">
        <f>'T21'!C7</f>
        <v>42023</v>
      </c>
      <c r="D13" s="336">
        <f>'T21'!D7</f>
        <v>726</v>
      </c>
      <c r="E13" s="336">
        <f>'T21'!E7</f>
        <v>7946</v>
      </c>
      <c r="F13" s="337">
        <f t="shared" si="0"/>
        <v>7555</v>
      </c>
      <c r="G13" s="337">
        <f t="shared" si="1"/>
        <v>49969</v>
      </c>
      <c r="H13" s="336">
        <f>'T21'!F7</f>
        <v>40</v>
      </c>
      <c r="I13" s="336">
        <f>'T21'!G7</f>
        <v>267</v>
      </c>
      <c r="J13" s="336">
        <f>'T21'!H7</f>
        <v>26</v>
      </c>
      <c r="K13" s="336">
        <f>'T21'!I7</f>
        <v>144</v>
      </c>
      <c r="L13" s="926">
        <f>B13/F13*100</f>
        <v>90.390469887491733</v>
      </c>
      <c r="M13" s="928">
        <f>C13/B13</f>
        <v>6.1536096060916678</v>
      </c>
      <c r="N13" s="120">
        <f>E13/D13</f>
        <v>10.944903581267218</v>
      </c>
      <c r="O13" s="338">
        <f>I13/H13</f>
        <v>6.6749999999999998</v>
      </c>
      <c r="P13" s="338">
        <f>K13/J13</f>
        <v>5.5384615384615383</v>
      </c>
    </row>
    <row r="14" spans="1:16" x14ac:dyDescent="0.25">
      <c r="A14" s="5" t="str">
        <f>'T21'!A8</f>
        <v>2012-13</v>
      </c>
      <c r="B14" s="336">
        <f>'T21'!B8</f>
        <v>7230</v>
      </c>
      <c r="C14" s="336">
        <f>'T21'!C8</f>
        <v>34986</v>
      </c>
      <c r="D14" s="336">
        <f>'T21'!D8</f>
        <v>764</v>
      </c>
      <c r="E14" s="336">
        <f>'T21'!E8</f>
        <v>5742</v>
      </c>
      <c r="F14" s="337">
        <f t="shared" si="0"/>
        <v>7994</v>
      </c>
      <c r="G14" s="337">
        <f t="shared" si="1"/>
        <v>40728</v>
      </c>
      <c r="H14" s="336">
        <f>'T21'!F8</f>
        <v>43</v>
      </c>
      <c r="I14" s="336">
        <f>'T21'!G8</f>
        <v>251</v>
      </c>
      <c r="J14" s="336">
        <f>'T21'!H8</f>
        <v>22</v>
      </c>
      <c r="K14" s="336">
        <f>'T21'!I8</f>
        <v>100</v>
      </c>
      <c r="L14" s="926">
        <f>B14/F14*100</f>
        <v>90.442832124093059</v>
      </c>
      <c r="M14" s="928">
        <f>C14/B14</f>
        <v>4.839004149377593</v>
      </c>
      <c r="N14" s="120">
        <f>E14/D14</f>
        <v>7.5157068062827221</v>
      </c>
      <c r="O14" s="338">
        <f>I14/H14</f>
        <v>5.8372093023255811</v>
      </c>
      <c r="P14" s="338">
        <f>K14/J14</f>
        <v>4.5454545454545459</v>
      </c>
    </row>
    <row r="15" spans="1:16" x14ac:dyDescent="0.25">
      <c r="A15" s="339" t="str">
        <f>'T21'!A9</f>
        <v>2013-14</v>
      </c>
      <c r="B15" s="336">
        <f>'T21'!B9</f>
        <v>0</v>
      </c>
      <c r="C15" s="336">
        <f>'T21'!C9</f>
        <v>0</v>
      </c>
      <c r="D15" s="336">
        <f>'T21'!D9</f>
        <v>0</v>
      </c>
      <c r="E15" s="336">
        <f>'T21'!E9</f>
        <v>0</v>
      </c>
      <c r="F15" s="337">
        <f t="shared" si="0"/>
        <v>0</v>
      </c>
      <c r="G15" s="337">
        <f t="shared" si="1"/>
        <v>0</v>
      </c>
      <c r="H15" s="336">
        <f>'T21'!F9</f>
        <v>0</v>
      </c>
      <c r="I15" s="336">
        <f>'T21'!G9</f>
        <v>0</v>
      </c>
      <c r="J15" s="336">
        <f>'T21'!H9</f>
        <v>0</v>
      </c>
      <c r="K15" s="336">
        <f>'T21'!I9</f>
        <v>0</v>
      </c>
      <c r="L15" s="926" t="s">
        <v>662</v>
      </c>
      <c r="M15" s="926" t="s">
        <v>662</v>
      </c>
      <c r="N15" s="338" t="s">
        <v>662</v>
      </c>
      <c r="O15" s="338" t="s">
        <v>662</v>
      </c>
      <c r="P15" s="338" t="s">
        <v>662</v>
      </c>
    </row>
    <row r="16" spans="1:16" x14ac:dyDescent="0.25">
      <c r="A16" s="5" t="str">
        <f>'T21'!A10</f>
        <v>2014-15</v>
      </c>
      <c r="B16" s="336">
        <f>'T21'!B10</f>
        <v>7816</v>
      </c>
      <c r="C16" s="336">
        <f>'T21'!C10</f>
        <v>40485</v>
      </c>
      <c r="D16" s="336">
        <f>'T21'!D10</f>
        <v>390</v>
      </c>
      <c r="E16" s="336">
        <f>'T21'!E10</f>
        <v>3134.5</v>
      </c>
      <c r="F16" s="337">
        <f t="shared" si="0"/>
        <v>8206</v>
      </c>
      <c r="G16" s="337">
        <f t="shared" si="1"/>
        <v>43619.5</v>
      </c>
      <c r="H16" s="336">
        <f>'T21'!F10</f>
        <v>10</v>
      </c>
      <c r="I16" s="336">
        <f>'T21'!G10</f>
        <v>206.25</v>
      </c>
      <c r="J16" s="336">
        <f>'T21'!H10</f>
        <v>3</v>
      </c>
      <c r="K16" s="336">
        <f>'T21'!I10</f>
        <v>25.5</v>
      </c>
      <c r="L16" s="926">
        <f>B16/F16*100</f>
        <v>95.247379965878622</v>
      </c>
      <c r="M16" s="928">
        <f>C16/B16</f>
        <v>5.1797594677584442</v>
      </c>
      <c r="N16" s="120">
        <f>E16/D16</f>
        <v>8.0371794871794879</v>
      </c>
      <c r="O16" s="338">
        <f>I16/H16</f>
        <v>20.625</v>
      </c>
      <c r="P16" s="338">
        <f>K16/J16</f>
        <v>8.5</v>
      </c>
    </row>
    <row r="17" spans="1:16" x14ac:dyDescent="0.25">
      <c r="A17" s="5" t="str">
        <f>'T21'!A11</f>
        <v>2015-16</v>
      </c>
      <c r="B17" s="336">
        <f>'T21'!B11</f>
        <v>9185</v>
      </c>
      <c r="C17" s="336">
        <f>'T21'!C11</f>
        <v>44965</v>
      </c>
      <c r="D17" s="336">
        <f>'T21'!D11</f>
        <v>649</v>
      </c>
      <c r="E17" s="336">
        <f>'T21'!E11</f>
        <v>6069.5</v>
      </c>
      <c r="F17" s="337">
        <f t="shared" si="0"/>
        <v>9834</v>
      </c>
      <c r="G17" s="337">
        <f t="shared" si="1"/>
        <v>51034.5</v>
      </c>
      <c r="H17" s="336">
        <f>'T21'!F11</f>
        <v>23</v>
      </c>
      <c r="I17" s="336">
        <f>'T21'!G11</f>
        <v>612</v>
      </c>
      <c r="J17" s="336">
        <f>'T21'!H11</f>
        <v>4</v>
      </c>
      <c r="K17" s="336">
        <f>'T21'!I11</f>
        <v>23.25</v>
      </c>
      <c r="L17" s="926">
        <f>B17/F17*100</f>
        <v>93.400447427293059</v>
      </c>
      <c r="M17" s="928">
        <f>C17/B17</f>
        <v>4.895481763745237</v>
      </c>
      <c r="N17" s="120">
        <f>E17/D17</f>
        <v>9.352080123266564</v>
      </c>
      <c r="O17" s="338">
        <f>I17/H17</f>
        <v>26.608695652173914</v>
      </c>
      <c r="P17" s="338">
        <f>K17/J17</f>
        <v>5.8125</v>
      </c>
    </row>
    <row r="18" spans="1:16" x14ac:dyDescent="0.25">
      <c r="A18" s="5" t="str">
        <f>'T21'!A12</f>
        <v>2016-17</v>
      </c>
      <c r="B18" s="336">
        <f>'T21'!B12</f>
        <v>8385</v>
      </c>
      <c r="C18" s="336">
        <f>'T21'!C12</f>
        <v>41376</v>
      </c>
      <c r="D18" s="336">
        <f>'T21'!D12</f>
        <v>554</v>
      </c>
      <c r="E18" s="336">
        <f>'T21'!E12</f>
        <v>4990.75</v>
      </c>
      <c r="F18" s="337">
        <f t="shared" ref="F18:F20" si="2">B18+D18</f>
        <v>8939</v>
      </c>
      <c r="G18" s="337">
        <f t="shared" ref="G18:G20" si="3">E18+C18</f>
        <v>46366.75</v>
      </c>
      <c r="H18" s="336">
        <f>'T21'!F12</f>
        <v>21</v>
      </c>
      <c r="I18" s="336">
        <f>'T21'!G12</f>
        <v>395.25</v>
      </c>
      <c r="J18" s="336">
        <f>'T21'!H12</f>
        <v>12</v>
      </c>
      <c r="K18" s="336">
        <f>'T21'!I12</f>
        <v>72.25</v>
      </c>
      <c r="L18" s="926">
        <f>B18/F18*100</f>
        <v>93.802438751538205</v>
      </c>
      <c r="M18" s="928">
        <f>C18/B18</f>
        <v>4.9345259391771021</v>
      </c>
      <c r="N18" s="120">
        <f>E18/D18</f>
        <v>9.0085740072202167</v>
      </c>
      <c r="O18" s="338">
        <f>I18/H18</f>
        <v>18.821428571428573</v>
      </c>
      <c r="P18" s="338">
        <f>K18/J18</f>
        <v>6.020833333333333</v>
      </c>
    </row>
    <row r="19" spans="1:16" x14ac:dyDescent="0.25">
      <c r="A19" s="5" t="str">
        <f>'T21'!A13</f>
        <v>2017-18</v>
      </c>
      <c r="B19" s="336">
        <f>'T21'!B13</f>
        <v>7167</v>
      </c>
      <c r="C19" s="336">
        <f>'T21'!C13</f>
        <v>34688.5</v>
      </c>
      <c r="D19" s="336">
        <f>'T21'!D13</f>
        <v>468</v>
      </c>
      <c r="E19" s="336">
        <f>'T21'!E13</f>
        <v>4782</v>
      </c>
      <c r="F19" s="337">
        <f t="shared" si="2"/>
        <v>7635</v>
      </c>
      <c r="G19" s="337">
        <f t="shared" si="3"/>
        <v>39470.5</v>
      </c>
      <c r="H19" s="336">
        <f>'T21'!F13</f>
        <v>15</v>
      </c>
      <c r="I19" s="336">
        <f>'T21'!G13</f>
        <v>465.5</v>
      </c>
      <c r="J19" s="336">
        <f>'T21'!H13</f>
        <v>17</v>
      </c>
      <c r="K19" s="336">
        <f>'T21'!I13</f>
        <v>128.5</v>
      </c>
      <c r="L19" s="926">
        <f>B19/F19*100</f>
        <v>93.870333988212181</v>
      </c>
      <c r="M19" s="928">
        <f>C19/B19</f>
        <v>4.8400306962466866</v>
      </c>
      <c r="N19" s="120">
        <f>E19/D19</f>
        <v>10.217948717948717</v>
      </c>
      <c r="O19" s="338">
        <f>I19/H19</f>
        <v>31.033333333333335</v>
      </c>
      <c r="P19" s="338">
        <f>K19/J19</f>
        <v>7.5588235294117645</v>
      </c>
    </row>
    <row r="20" spans="1:16" x14ac:dyDescent="0.25">
      <c r="A20" s="5" t="str">
        <f>'T21'!A14</f>
        <v>2018-19</v>
      </c>
      <c r="B20" s="336">
        <f>'T21'!B14</f>
        <v>7508</v>
      </c>
      <c r="C20" s="336">
        <f>'T21'!C14</f>
        <v>36452.25</v>
      </c>
      <c r="D20" s="336">
        <f>'T21'!D14</f>
        <v>364</v>
      </c>
      <c r="E20" s="336">
        <f>'T21'!E14</f>
        <v>3759.25</v>
      </c>
      <c r="F20" s="337">
        <f t="shared" si="2"/>
        <v>7872</v>
      </c>
      <c r="G20" s="337">
        <f t="shared" si="3"/>
        <v>40211.5</v>
      </c>
      <c r="H20" s="336">
        <f>'T21'!F14</f>
        <v>22</v>
      </c>
      <c r="I20" s="336">
        <f>'T21'!G14</f>
        <v>521.75</v>
      </c>
      <c r="J20" s="336">
        <f>'T21'!H14</f>
        <v>20</v>
      </c>
      <c r="K20" s="336">
        <f>'T21'!I14</f>
        <v>237.5</v>
      </c>
      <c r="L20" s="927">
        <f>B20/F20*100</f>
        <v>95.376016260162601</v>
      </c>
      <c r="M20" s="929">
        <f>C20/B20</f>
        <v>4.8551212040490146</v>
      </c>
      <c r="N20" s="120">
        <f>E20/D20</f>
        <v>10.327609890109891</v>
      </c>
      <c r="O20" s="338">
        <f>I20/H20</f>
        <v>23.71590909090909</v>
      </c>
      <c r="P20" s="338">
        <f>K20/J20</f>
        <v>11.875</v>
      </c>
    </row>
    <row r="21" spans="1:16" x14ac:dyDescent="0.25">
      <c r="A21" s="340"/>
      <c r="B21" s="137"/>
      <c r="C21" s="273"/>
      <c r="D21" s="273"/>
      <c r="E21" s="273"/>
      <c r="F21" s="273"/>
      <c r="G21" s="273"/>
      <c r="H21" s="273"/>
      <c r="I21" s="273"/>
      <c r="J21" s="627"/>
      <c r="K21" s="627"/>
      <c r="L21" s="273"/>
      <c r="M21" s="306"/>
      <c r="N21" s="273"/>
      <c r="O21" s="341"/>
      <c r="P21" s="341"/>
    </row>
    <row r="22" spans="1:16" x14ac:dyDescent="0.25">
      <c r="A22" s="518" t="s">
        <v>8</v>
      </c>
      <c r="B22" s="16"/>
      <c r="C22" s="16"/>
      <c r="D22" s="16"/>
      <c r="E22" s="16"/>
      <c r="F22" s="389"/>
      <c r="G22" s="389"/>
      <c r="H22" s="16"/>
      <c r="I22" s="16"/>
      <c r="J22" s="16"/>
      <c r="K22" s="16"/>
      <c r="L22" s="16"/>
      <c r="M22" s="16"/>
      <c r="N22" s="16"/>
      <c r="O22" s="16"/>
    </row>
    <row r="23" spans="1:16" x14ac:dyDescent="0.25">
      <c r="A23" s="498" t="s">
        <v>244</v>
      </c>
      <c r="B23" s="16"/>
      <c r="C23" s="16"/>
      <c r="D23" s="16"/>
      <c r="E23" s="16"/>
      <c r="F23" s="16"/>
      <c r="G23" s="16"/>
      <c r="H23" s="16"/>
      <c r="I23" s="16"/>
      <c r="J23" s="16"/>
      <c r="K23" s="16"/>
      <c r="L23" s="16"/>
      <c r="M23" s="16"/>
      <c r="N23" s="16"/>
      <c r="O23" s="16"/>
    </row>
    <row r="24" spans="1:16" ht="30" customHeight="1" x14ac:dyDescent="0.25">
      <c r="A24" s="1041" t="s">
        <v>876</v>
      </c>
      <c r="B24" s="1041"/>
      <c r="C24" s="1041"/>
      <c r="D24" s="1041"/>
      <c r="E24" s="1041"/>
      <c r="F24" s="1041"/>
      <c r="G24" s="1041"/>
      <c r="H24" s="1041"/>
      <c r="I24" s="1041"/>
      <c r="J24" s="1041"/>
      <c r="K24" s="1041"/>
      <c r="L24" s="1041"/>
      <c r="M24" s="1041"/>
      <c r="N24" s="1041"/>
      <c r="O24" s="1041"/>
      <c r="P24" s="1041"/>
    </row>
    <row r="25" spans="1:16" x14ac:dyDescent="0.25">
      <c r="A25" s="498" t="s">
        <v>879</v>
      </c>
      <c r="B25" s="16"/>
      <c r="C25" s="16"/>
      <c r="D25" s="16"/>
      <c r="E25" s="16"/>
      <c r="F25" s="16"/>
      <c r="G25" s="16"/>
      <c r="H25" s="16"/>
      <c r="I25" s="16"/>
      <c r="J25" s="16"/>
      <c r="K25" s="16"/>
      <c r="L25" s="16"/>
      <c r="M25" s="16"/>
      <c r="N25" s="16"/>
      <c r="O25" s="16"/>
    </row>
    <row r="26" spans="1:16" x14ac:dyDescent="0.25">
      <c r="A26" s="498" t="s">
        <v>877</v>
      </c>
      <c r="B26" s="16"/>
      <c r="C26" s="16"/>
      <c r="D26" s="16"/>
      <c r="E26" s="16"/>
      <c r="F26" s="16"/>
      <c r="G26" s="16"/>
      <c r="H26" s="16"/>
      <c r="I26" s="16"/>
      <c r="J26" s="16"/>
      <c r="K26" s="16"/>
      <c r="L26" s="16"/>
      <c r="M26" s="16"/>
      <c r="N26" s="16"/>
      <c r="O26" s="16"/>
    </row>
    <row r="27" spans="1:16" x14ac:dyDescent="0.25">
      <c r="A27" s="16"/>
      <c r="B27" s="16"/>
      <c r="C27" s="16"/>
      <c r="D27" s="16"/>
      <c r="E27" s="16"/>
      <c r="F27" s="16"/>
      <c r="G27" s="16"/>
      <c r="H27" s="16"/>
      <c r="I27" s="16"/>
      <c r="J27" s="16"/>
      <c r="K27" s="16"/>
      <c r="L27" s="16"/>
      <c r="M27" s="16"/>
      <c r="N27" s="16"/>
      <c r="O27" s="16"/>
    </row>
    <row r="28" spans="1:16" ht="15.75" x14ac:dyDescent="0.25">
      <c r="A28" s="1012" t="s">
        <v>667</v>
      </c>
      <c r="B28" s="1012"/>
      <c r="C28" s="1012"/>
      <c r="D28" s="1012"/>
      <c r="E28" s="1012"/>
      <c r="F28" s="1012"/>
      <c r="G28" s="1012"/>
      <c r="H28" s="1012"/>
      <c r="I28" s="1012"/>
      <c r="J28" s="1012"/>
      <c r="K28" s="1012"/>
      <c r="L28" s="1012"/>
      <c r="M28" s="1012"/>
      <c r="N28" s="1012"/>
      <c r="O28" s="1012"/>
    </row>
    <row r="29" spans="1:16" ht="15.75" x14ac:dyDescent="0.25">
      <c r="A29" t="s">
        <v>368</v>
      </c>
      <c r="B29" t="s">
        <v>819</v>
      </c>
      <c r="C29" s="802"/>
      <c r="D29" s="802"/>
      <c r="E29" s="802"/>
      <c r="F29" s="802"/>
      <c r="G29" s="802"/>
      <c r="H29" s="802"/>
      <c r="I29" s="802"/>
      <c r="J29" s="802"/>
      <c r="K29" s="802"/>
    </row>
    <row r="30" spans="1:16" ht="15.75" x14ac:dyDescent="0.25">
      <c r="A30" t="s">
        <v>369</v>
      </c>
      <c r="B30" t="s">
        <v>371</v>
      </c>
      <c r="C30" s="802"/>
      <c r="D30" s="802"/>
      <c r="E30" s="802"/>
      <c r="F30" s="802"/>
      <c r="G30" s="802"/>
      <c r="H30" s="802"/>
      <c r="I30" s="802"/>
      <c r="J30" s="802"/>
      <c r="K30" s="802"/>
    </row>
    <row r="31" spans="1:16" ht="15.75" x14ac:dyDescent="0.25">
      <c r="A31" t="s">
        <v>370</v>
      </c>
      <c r="B31" t="s">
        <v>372</v>
      </c>
      <c r="C31" s="802"/>
      <c r="D31" s="802"/>
      <c r="E31" s="802"/>
      <c r="F31" s="802"/>
      <c r="G31" s="802"/>
      <c r="H31" s="802"/>
      <c r="I31" s="802"/>
      <c r="J31" s="802"/>
      <c r="K31" s="802"/>
      <c r="L31" s="31"/>
      <c r="M31" s="31"/>
      <c r="N31" s="31"/>
      <c r="O31" s="31"/>
    </row>
    <row r="32" spans="1:16" ht="15.75" x14ac:dyDescent="0.25">
      <c r="A32" s="799"/>
      <c r="B32" s="799"/>
      <c r="C32" s="799"/>
      <c r="D32" s="799"/>
      <c r="E32" s="799"/>
      <c r="F32" s="799"/>
      <c r="G32" s="799"/>
      <c r="H32" s="799"/>
      <c r="I32" s="799"/>
      <c r="J32" s="799"/>
      <c r="K32" s="799"/>
      <c r="L32" s="799"/>
      <c r="M32" s="799"/>
      <c r="N32" s="799"/>
      <c r="O32" s="799"/>
    </row>
    <row r="33" spans="1:17" ht="30" customHeight="1" x14ac:dyDescent="0.25">
      <c r="A33" s="13"/>
      <c r="B33" s="1042" t="s">
        <v>663</v>
      </c>
      <c r="C33" s="1042"/>
      <c r="D33" s="1042" t="s">
        <v>664</v>
      </c>
      <c r="E33" s="1042"/>
      <c r="F33" s="1044" t="s">
        <v>165</v>
      </c>
      <c r="G33" s="1044"/>
      <c r="H33" s="1045" t="s">
        <v>166</v>
      </c>
      <c r="I33" s="1044"/>
      <c r="J33" s="1044" t="s">
        <v>167</v>
      </c>
      <c r="K33" s="1044"/>
      <c r="L33" s="930"/>
      <c r="M33" s="1046" t="s">
        <v>168</v>
      </c>
      <c r="N33" s="1046"/>
      <c r="O33" s="1046"/>
    </row>
    <row r="34" spans="1:17" ht="39" x14ac:dyDescent="0.25">
      <c r="A34" s="342" t="s">
        <v>173</v>
      </c>
      <c r="B34" s="343" t="s">
        <v>6</v>
      </c>
      <c r="C34" s="343" t="s">
        <v>169</v>
      </c>
      <c r="D34" s="343" t="s">
        <v>6</v>
      </c>
      <c r="E34" s="343" t="s">
        <v>169</v>
      </c>
      <c r="F34" s="344" t="s">
        <v>170</v>
      </c>
      <c r="G34" s="3" t="s">
        <v>169</v>
      </c>
      <c r="H34" s="922" t="s">
        <v>6</v>
      </c>
      <c r="I34" s="343" t="s">
        <v>169</v>
      </c>
      <c r="J34" s="343" t="s">
        <v>6</v>
      </c>
      <c r="K34" s="343" t="s">
        <v>169</v>
      </c>
      <c r="L34" s="919" t="s">
        <v>171</v>
      </c>
      <c r="M34" s="916" t="s">
        <v>663</v>
      </c>
      <c r="N34" s="334" t="s">
        <v>664</v>
      </c>
      <c r="O34" s="334" t="s">
        <v>172</v>
      </c>
      <c r="P34" s="473" t="s">
        <v>197</v>
      </c>
    </row>
    <row r="35" spans="1:17" x14ac:dyDescent="0.25">
      <c r="A35" s="345" t="s">
        <v>146</v>
      </c>
      <c r="B35" s="336">
        <f>'h21'!B5</f>
        <v>449</v>
      </c>
      <c r="C35" s="336">
        <f>'h21'!C5</f>
        <v>2244.5</v>
      </c>
      <c r="D35" s="336">
        <f>'h21'!D5</f>
        <v>22</v>
      </c>
      <c r="E35" s="336">
        <f>'h21'!E5</f>
        <v>166.5</v>
      </c>
      <c r="F35" s="337">
        <f t="shared" ref="F35:F49" si="4">B35+D35</f>
        <v>471</v>
      </c>
      <c r="G35" s="337">
        <f t="shared" ref="G35:G49" si="5">E35+C35</f>
        <v>2411</v>
      </c>
      <c r="H35" s="923">
        <f>'h21'!F5</f>
        <v>0</v>
      </c>
      <c r="I35" s="336">
        <f>'h21'!G5</f>
        <v>0</v>
      </c>
      <c r="J35" s="336">
        <f>'h21'!H5</f>
        <v>0</v>
      </c>
      <c r="K35" s="336">
        <f>'h21'!I5</f>
        <v>0</v>
      </c>
      <c r="L35" s="920">
        <f t="shared" ref="L35:L50" si="6">B35/F35%</f>
        <v>95.329087048832278</v>
      </c>
      <c r="M35" s="917">
        <f t="shared" ref="M35:M50" si="7">C35/B35</f>
        <v>4.9988864142538976</v>
      </c>
      <c r="N35" s="346">
        <f t="shared" ref="N35:N50" si="8">E35/D35</f>
        <v>7.5681818181818183</v>
      </c>
      <c r="O35" s="346">
        <f t="shared" ref="O35:O50" si="9">IF(H35=0, 0, I35/H35)</f>
        <v>0</v>
      </c>
      <c r="P35" s="346">
        <f t="shared" ref="P35:P50" si="10">IF(J35=0, 0, K35/J35)</f>
        <v>0</v>
      </c>
      <c r="Q35" s="587"/>
    </row>
    <row r="36" spans="1:17" x14ac:dyDescent="0.25">
      <c r="A36" s="345" t="s">
        <v>147</v>
      </c>
      <c r="B36" s="336">
        <f>'h21'!B6</f>
        <v>1731</v>
      </c>
      <c r="C36" s="336">
        <f>'h21'!C6</f>
        <v>9112.75</v>
      </c>
      <c r="D36" s="336">
        <f>'h21'!D6</f>
        <v>44</v>
      </c>
      <c r="E36" s="336">
        <f>'h21'!E6</f>
        <v>463.25</v>
      </c>
      <c r="F36" s="337">
        <f t="shared" si="4"/>
        <v>1775</v>
      </c>
      <c r="G36" s="337">
        <f t="shared" si="5"/>
        <v>9576</v>
      </c>
      <c r="H36" s="923">
        <f>'h21'!F6</f>
        <v>1</v>
      </c>
      <c r="I36" s="336">
        <f>'h21'!G6</f>
        <v>33.25</v>
      </c>
      <c r="J36" s="336">
        <f>'h21'!H6</f>
        <v>0</v>
      </c>
      <c r="K36" s="336">
        <f>'h21'!I6</f>
        <v>0</v>
      </c>
      <c r="L36" s="920">
        <f t="shared" si="6"/>
        <v>97.521126760563376</v>
      </c>
      <c r="M36" s="917">
        <f t="shared" si="7"/>
        <v>5.2644425187752741</v>
      </c>
      <c r="N36" s="346">
        <f t="shared" si="8"/>
        <v>10.528409090909092</v>
      </c>
      <c r="O36" s="346">
        <f t="shared" si="9"/>
        <v>33.25</v>
      </c>
      <c r="P36" s="346">
        <f t="shared" si="10"/>
        <v>0</v>
      </c>
      <c r="Q36" s="587"/>
    </row>
    <row r="37" spans="1:17" x14ac:dyDescent="0.25">
      <c r="A37" s="345" t="s">
        <v>163</v>
      </c>
      <c r="B37" s="336">
        <f>'h21'!B7</f>
        <v>1804</v>
      </c>
      <c r="C37" s="336">
        <f>'h21'!C7</f>
        <v>6780</v>
      </c>
      <c r="D37" s="336">
        <f>'h21'!D7</f>
        <v>58</v>
      </c>
      <c r="E37" s="336">
        <f>'h21'!E7</f>
        <v>572.5</v>
      </c>
      <c r="F37" s="337">
        <f t="shared" si="4"/>
        <v>1862</v>
      </c>
      <c r="G37" s="337">
        <f t="shared" si="5"/>
        <v>7352.5</v>
      </c>
      <c r="H37" s="923">
        <f>'h21'!F7</f>
        <v>5</v>
      </c>
      <c r="I37" s="336">
        <f>'h21'!G7</f>
        <v>167.25</v>
      </c>
      <c r="J37" s="336">
        <f>'h21'!H7</f>
        <v>12</v>
      </c>
      <c r="K37" s="336">
        <f>'h21'!I7</f>
        <v>181.25</v>
      </c>
      <c r="L37" s="920">
        <f t="shared" si="6"/>
        <v>96.885069817400634</v>
      </c>
      <c r="M37" s="917">
        <f t="shared" si="7"/>
        <v>3.7583148558758315</v>
      </c>
      <c r="N37" s="346">
        <f t="shared" si="8"/>
        <v>9.8706896551724146</v>
      </c>
      <c r="O37" s="346">
        <f t="shared" si="9"/>
        <v>33.450000000000003</v>
      </c>
      <c r="P37" s="346">
        <f t="shared" si="10"/>
        <v>15.104166666666666</v>
      </c>
      <c r="Q37" s="587"/>
    </row>
    <row r="38" spans="1:17" x14ac:dyDescent="0.25">
      <c r="A38" s="345" t="s">
        <v>148</v>
      </c>
      <c r="B38" s="336">
        <f>'h21'!B8</f>
        <v>85</v>
      </c>
      <c r="C38" s="336">
        <f>'h21'!C8</f>
        <v>435.5</v>
      </c>
      <c r="D38" s="336">
        <f>'h21'!D8</f>
        <v>3</v>
      </c>
      <c r="E38" s="336">
        <f>'h21'!E8</f>
        <v>61.25</v>
      </c>
      <c r="F38" s="337">
        <f t="shared" si="4"/>
        <v>88</v>
      </c>
      <c r="G38" s="337">
        <f t="shared" si="5"/>
        <v>496.75</v>
      </c>
      <c r="H38" s="923">
        <f>'h21'!F8</f>
        <v>1</v>
      </c>
      <c r="I38" s="336">
        <f>'h21'!G8</f>
        <v>38.25</v>
      </c>
      <c r="J38" s="336">
        <f>'h21'!H8</f>
        <v>0</v>
      </c>
      <c r="K38" s="336">
        <f>'h21'!I8</f>
        <v>0</v>
      </c>
      <c r="L38" s="920">
        <f t="shared" si="6"/>
        <v>96.590909090909093</v>
      </c>
      <c r="M38" s="917">
        <f t="shared" si="7"/>
        <v>5.1235294117647054</v>
      </c>
      <c r="N38" s="346">
        <f t="shared" si="8"/>
        <v>20.416666666666668</v>
      </c>
      <c r="O38" s="346">
        <f t="shared" si="9"/>
        <v>38.25</v>
      </c>
      <c r="P38" s="346">
        <f t="shared" si="10"/>
        <v>0</v>
      </c>
      <c r="Q38" s="587"/>
    </row>
    <row r="39" spans="1:17" x14ac:dyDescent="0.25">
      <c r="A39" s="345" t="s">
        <v>149</v>
      </c>
      <c r="B39" s="336">
        <f>'h21'!B9</f>
        <v>921</v>
      </c>
      <c r="C39" s="336">
        <f>'h21'!C9</f>
        <v>5130.75</v>
      </c>
      <c r="D39" s="336">
        <f>'h21'!D9</f>
        <v>109</v>
      </c>
      <c r="E39" s="336">
        <f>'h21'!E9</f>
        <v>1313.75</v>
      </c>
      <c r="F39" s="337">
        <f t="shared" si="4"/>
        <v>1030</v>
      </c>
      <c r="G39" s="337">
        <f t="shared" si="5"/>
        <v>6444.5</v>
      </c>
      <c r="H39" s="923">
        <f>'h21'!F9</f>
        <v>5</v>
      </c>
      <c r="I39" s="336">
        <f>'h21'!G9</f>
        <v>154</v>
      </c>
      <c r="J39" s="336">
        <f>'h21'!H9</f>
        <v>4</v>
      </c>
      <c r="K39" s="336">
        <f>'h21'!I9</f>
        <v>34</v>
      </c>
      <c r="L39" s="920">
        <f t="shared" si="6"/>
        <v>89.417475728155338</v>
      </c>
      <c r="M39" s="917">
        <f t="shared" si="7"/>
        <v>5.5708469055374596</v>
      </c>
      <c r="N39" s="346">
        <f t="shared" si="8"/>
        <v>12.052752293577981</v>
      </c>
      <c r="O39" s="346">
        <f t="shared" si="9"/>
        <v>30.8</v>
      </c>
      <c r="P39" s="346">
        <f t="shared" si="10"/>
        <v>8.5</v>
      </c>
      <c r="Q39" s="587"/>
    </row>
    <row r="40" spans="1:17" x14ac:dyDescent="0.25">
      <c r="A40" s="345" t="s">
        <v>150</v>
      </c>
      <c r="B40" s="336">
        <f>'h21'!B10</f>
        <v>301</v>
      </c>
      <c r="C40" s="336">
        <f>'h21'!C10</f>
        <v>1377.25</v>
      </c>
      <c r="D40" s="336">
        <f>'h21'!D10</f>
        <v>22</v>
      </c>
      <c r="E40" s="336">
        <f>'h21'!E10</f>
        <v>192.75</v>
      </c>
      <c r="F40" s="337">
        <f t="shared" si="4"/>
        <v>323</v>
      </c>
      <c r="G40" s="337">
        <f t="shared" si="5"/>
        <v>1570</v>
      </c>
      <c r="H40" s="923">
        <f>'h21'!F10</f>
        <v>0</v>
      </c>
      <c r="I40" s="336">
        <f>'h21'!G10</f>
        <v>0</v>
      </c>
      <c r="J40" s="336">
        <f>'h21'!H10</f>
        <v>0</v>
      </c>
      <c r="K40" s="336">
        <f>'h21'!I10</f>
        <v>0</v>
      </c>
      <c r="L40" s="920">
        <f t="shared" si="6"/>
        <v>93.188854489164086</v>
      </c>
      <c r="M40" s="917">
        <f t="shared" si="7"/>
        <v>4.5755813953488369</v>
      </c>
      <c r="N40" s="346">
        <f t="shared" si="8"/>
        <v>8.7613636363636367</v>
      </c>
      <c r="O40" s="346">
        <f t="shared" si="9"/>
        <v>0</v>
      </c>
      <c r="P40" s="346">
        <f t="shared" si="10"/>
        <v>0</v>
      </c>
      <c r="Q40" s="587"/>
    </row>
    <row r="41" spans="1:17" x14ac:dyDescent="0.25">
      <c r="A41" s="345" t="s">
        <v>151</v>
      </c>
      <c r="B41" s="336">
        <f>'h21'!B11</f>
        <v>30</v>
      </c>
      <c r="C41" s="336">
        <f>'h21'!C11</f>
        <v>199.75</v>
      </c>
      <c r="D41" s="336">
        <f>'h21'!D11</f>
        <v>1</v>
      </c>
      <c r="E41" s="336">
        <f>'h21'!E11</f>
        <v>11.25</v>
      </c>
      <c r="F41" s="337">
        <f t="shared" si="4"/>
        <v>31</v>
      </c>
      <c r="G41" s="337">
        <f t="shared" si="5"/>
        <v>211</v>
      </c>
      <c r="H41" s="923">
        <f>'h21'!F11</f>
        <v>0</v>
      </c>
      <c r="I41" s="336">
        <f>'h21'!G11</f>
        <v>0</v>
      </c>
      <c r="J41" s="336">
        <f>'h21'!H11</f>
        <v>0</v>
      </c>
      <c r="K41" s="336">
        <f>'h21'!I11</f>
        <v>0</v>
      </c>
      <c r="L41" s="920">
        <f t="shared" si="6"/>
        <v>96.774193548387103</v>
      </c>
      <c r="M41" s="917">
        <f t="shared" si="7"/>
        <v>6.6583333333333332</v>
      </c>
      <c r="N41" s="346">
        <f t="shared" si="8"/>
        <v>11.25</v>
      </c>
      <c r="O41" s="346">
        <f t="shared" si="9"/>
        <v>0</v>
      </c>
      <c r="P41" s="346">
        <f t="shared" si="10"/>
        <v>0</v>
      </c>
      <c r="Q41" s="587"/>
    </row>
    <row r="42" spans="1:17" x14ac:dyDescent="0.25">
      <c r="A42" s="345" t="s">
        <v>152</v>
      </c>
      <c r="B42" s="336">
        <f>'h21'!B12</f>
        <v>59</v>
      </c>
      <c r="C42" s="336">
        <f>'h21'!C12</f>
        <v>321.75</v>
      </c>
      <c r="D42" s="336">
        <f>'h21'!D12</f>
        <v>1</v>
      </c>
      <c r="E42" s="336">
        <f>'h21'!E12</f>
        <v>14</v>
      </c>
      <c r="F42" s="337">
        <f t="shared" si="4"/>
        <v>60</v>
      </c>
      <c r="G42" s="337">
        <f t="shared" si="5"/>
        <v>335.75</v>
      </c>
      <c r="H42" s="923">
        <f>'h21'!F12</f>
        <v>0</v>
      </c>
      <c r="I42" s="336">
        <f>'h21'!G12</f>
        <v>0</v>
      </c>
      <c r="J42" s="336">
        <f>'h21'!H12</f>
        <v>0</v>
      </c>
      <c r="K42" s="336">
        <f>'h21'!I12</f>
        <v>0</v>
      </c>
      <c r="L42" s="920">
        <f t="shared" si="6"/>
        <v>98.333333333333343</v>
      </c>
      <c r="M42" s="917">
        <f t="shared" si="7"/>
        <v>5.4533898305084749</v>
      </c>
      <c r="N42" s="346">
        <f t="shared" si="8"/>
        <v>14</v>
      </c>
      <c r="O42" s="346">
        <f t="shared" si="9"/>
        <v>0</v>
      </c>
      <c r="P42" s="346">
        <f t="shared" si="10"/>
        <v>0</v>
      </c>
      <c r="Q42" s="587"/>
    </row>
    <row r="43" spans="1:17" x14ac:dyDescent="0.25">
      <c r="A43" s="345" t="s">
        <v>153</v>
      </c>
      <c r="B43" s="336">
        <f>'h21'!B13</f>
        <v>329</v>
      </c>
      <c r="C43" s="336">
        <f>'h21'!C13</f>
        <v>1704</v>
      </c>
      <c r="D43" s="336">
        <f>'h21'!D13</f>
        <v>45</v>
      </c>
      <c r="E43" s="336">
        <f>'h21'!E13</f>
        <v>386.75</v>
      </c>
      <c r="F43" s="337">
        <f t="shared" si="4"/>
        <v>374</v>
      </c>
      <c r="G43" s="337">
        <f t="shared" si="5"/>
        <v>2090.75</v>
      </c>
      <c r="H43" s="923">
        <f>'h21'!F13</f>
        <v>5</v>
      </c>
      <c r="I43" s="336">
        <f>'h21'!G13</f>
        <v>80</v>
      </c>
      <c r="J43" s="336">
        <f>'h21'!H13</f>
        <v>0</v>
      </c>
      <c r="K43" s="336">
        <f>'h21'!I13</f>
        <v>0</v>
      </c>
      <c r="L43" s="920">
        <f t="shared" si="6"/>
        <v>87.967914438502675</v>
      </c>
      <c r="M43" s="917">
        <f t="shared" si="7"/>
        <v>5.1793313069908811</v>
      </c>
      <c r="N43" s="346">
        <f t="shared" si="8"/>
        <v>8.594444444444445</v>
      </c>
      <c r="O43" s="346">
        <f t="shared" si="9"/>
        <v>16</v>
      </c>
      <c r="P43" s="346">
        <f t="shared" si="10"/>
        <v>0</v>
      </c>
      <c r="Q43" s="587"/>
    </row>
    <row r="44" spans="1:17" x14ac:dyDescent="0.25">
      <c r="A44" s="345" t="s">
        <v>154</v>
      </c>
      <c r="B44" s="336">
        <f>'h21'!B14</f>
        <v>457</v>
      </c>
      <c r="C44" s="336">
        <f>'h21'!C14</f>
        <v>2188.5</v>
      </c>
      <c r="D44" s="336">
        <f>'h21'!D14</f>
        <v>13</v>
      </c>
      <c r="E44" s="336">
        <f>'h21'!E14</f>
        <v>156.75</v>
      </c>
      <c r="F44" s="337">
        <f t="shared" si="4"/>
        <v>470</v>
      </c>
      <c r="G44" s="337">
        <f t="shared" si="5"/>
        <v>2345.25</v>
      </c>
      <c r="H44" s="923">
        <f>'h21'!F14</f>
        <v>0</v>
      </c>
      <c r="I44" s="336">
        <f>'h21'!G14</f>
        <v>0</v>
      </c>
      <c r="J44" s="336">
        <f>'h21'!H14</f>
        <v>0</v>
      </c>
      <c r="K44" s="336">
        <f>'h21'!I14</f>
        <v>0</v>
      </c>
      <c r="L44" s="920">
        <f t="shared" si="6"/>
        <v>97.234042553191486</v>
      </c>
      <c r="M44" s="917">
        <f t="shared" si="7"/>
        <v>4.788840262582057</v>
      </c>
      <c r="N44" s="346">
        <f t="shared" si="8"/>
        <v>12.057692307692308</v>
      </c>
      <c r="O44" s="346">
        <f t="shared" si="9"/>
        <v>0</v>
      </c>
      <c r="P44" s="346">
        <f t="shared" si="10"/>
        <v>0</v>
      </c>
      <c r="Q44" s="587"/>
    </row>
    <row r="45" spans="1:17" x14ac:dyDescent="0.25">
      <c r="A45" s="345" t="s">
        <v>155</v>
      </c>
      <c r="B45" s="336">
        <f>'h21'!B15</f>
        <v>366</v>
      </c>
      <c r="C45" s="336">
        <f>'h21'!C15</f>
        <v>1827.5</v>
      </c>
      <c r="D45" s="336">
        <f>'h21'!D15</f>
        <v>16</v>
      </c>
      <c r="E45" s="336">
        <f>'h21'!E15</f>
        <v>156.5</v>
      </c>
      <c r="F45" s="337">
        <f t="shared" si="4"/>
        <v>382</v>
      </c>
      <c r="G45" s="337">
        <f t="shared" si="5"/>
        <v>1984</v>
      </c>
      <c r="H45" s="923">
        <f>'h21'!F15</f>
        <v>3</v>
      </c>
      <c r="I45" s="336">
        <f>'h21'!G15</f>
        <v>45.25</v>
      </c>
      <c r="J45" s="336">
        <f>'h21'!H15</f>
        <v>3</v>
      </c>
      <c r="K45" s="336">
        <f>'h21'!I15</f>
        <v>16</v>
      </c>
      <c r="L45" s="920">
        <f t="shared" si="6"/>
        <v>95.811518324607334</v>
      </c>
      <c r="M45" s="917">
        <f t="shared" si="7"/>
        <v>4.9931693989071038</v>
      </c>
      <c r="N45" s="346">
        <f t="shared" si="8"/>
        <v>9.78125</v>
      </c>
      <c r="O45" s="346">
        <f t="shared" si="9"/>
        <v>15.083333333333334</v>
      </c>
      <c r="P45" s="346">
        <f t="shared" si="10"/>
        <v>5.333333333333333</v>
      </c>
      <c r="Q45" s="587"/>
    </row>
    <row r="46" spans="1:17" x14ac:dyDescent="0.25">
      <c r="A46" s="345" t="s">
        <v>156</v>
      </c>
      <c r="B46" s="336">
        <f>'h21'!B16</f>
        <v>273</v>
      </c>
      <c r="C46" s="336">
        <f>'h21'!C16</f>
        <v>1407.5</v>
      </c>
      <c r="D46" s="336">
        <f>'h21'!D16</f>
        <v>10</v>
      </c>
      <c r="E46" s="336">
        <f>'h21'!E16</f>
        <v>106.75</v>
      </c>
      <c r="F46" s="337">
        <f t="shared" si="4"/>
        <v>283</v>
      </c>
      <c r="G46" s="337">
        <f t="shared" si="5"/>
        <v>1514.25</v>
      </c>
      <c r="H46" s="923">
        <f>'h21'!F16</f>
        <v>0</v>
      </c>
      <c r="I46" s="336">
        <f>'h21'!G16</f>
        <v>0</v>
      </c>
      <c r="J46" s="336">
        <f>'h21'!H16</f>
        <v>1</v>
      </c>
      <c r="K46" s="336">
        <f>'h21'!I16</f>
        <v>6.25</v>
      </c>
      <c r="L46" s="920">
        <f t="shared" si="6"/>
        <v>96.466431095406364</v>
      </c>
      <c r="M46" s="917">
        <f t="shared" si="7"/>
        <v>5.155677655677656</v>
      </c>
      <c r="N46" s="346">
        <f t="shared" si="8"/>
        <v>10.675000000000001</v>
      </c>
      <c r="O46" s="346">
        <f t="shared" si="9"/>
        <v>0</v>
      </c>
      <c r="P46" s="346">
        <f t="shared" si="10"/>
        <v>6.25</v>
      </c>
      <c r="Q46" s="587"/>
    </row>
    <row r="47" spans="1:17" x14ac:dyDescent="0.25">
      <c r="A47" s="347" t="s">
        <v>157</v>
      </c>
      <c r="B47" s="336">
        <f>'h21'!B17</f>
        <v>261</v>
      </c>
      <c r="C47" s="336">
        <f>'h21'!C17</f>
        <v>1459.5</v>
      </c>
      <c r="D47" s="336">
        <f>'h21'!D17</f>
        <v>6</v>
      </c>
      <c r="E47" s="336">
        <f>'h21'!E17</f>
        <v>50.75</v>
      </c>
      <c r="F47" s="337">
        <f t="shared" si="4"/>
        <v>267</v>
      </c>
      <c r="G47" s="337">
        <f t="shared" si="5"/>
        <v>1510.25</v>
      </c>
      <c r="H47" s="923">
        <f>'h21'!F17</f>
        <v>0</v>
      </c>
      <c r="I47" s="336">
        <f>'h21'!G17</f>
        <v>0</v>
      </c>
      <c r="J47" s="336">
        <f>'h21'!H17</f>
        <v>0</v>
      </c>
      <c r="K47" s="336">
        <f>'h21'!I17</f>
        <v>0</v>
      </c>
      <c r="L47" s="920">
        <f t="shared" si="6"/>
        <v>97.752808988764045</v>
      </c>
      <c r="M47" s="917">
        <f t="shared" si="7"/>
        <v>5.5919540229885056</v>
      </c>
      <c r="N47" s="346">
        <f t="shared" si="8"/>
        <v>8.4583333333333339</v>
      </c>
      <c r="O47" s="346">
        <f t="shared" si="9"/>
        <v>0</v>
      </c>
      <c r="P47" s="346">
        <f t="shared" si="10"/>
        <v>0</v>
      </c>
      <c r="Q47" s="587"/>
    </row>
    <row r="48" spans="1:17" x14ac:dyDescent="0.25">
      <c r="A48" s="345" t="s">
        <v>158</v>
      </c>
      <c r="B48" s="336">
        <f>'h21'!B18</f>
        <v>263</v>
      </c>
      <c r="C48" s="336">
        <f>'h21'!C18</f>
        <v>1314</v>
      </c>
      <c r="D48" s="336">
        <f>'h21'!D18</f>
        <v>4</v>
      </c>
      <c r="E48" s="336">
        <f>'h21'!E18</f>
        <v>38</v>
      </c>
      <c r="F48" s="337">
        <f t="shared" si="4"/>
        <v>267</v>
      </c>
      <c r="G48" s="348">
        <f t="shared" si="5"/>
        <v>1352</v>
      </c>
      <c r="H48" s="923">
        <f>'h21'!F18</f>
        <v>0</v>
      </c>
      <c r="I48" s="336">
        <f>'h21'!G18</f>
        <v>0</v>
      </c>
      <c r="J48" s="336">
        <f>'h21'!H18</f>
        <v>0</v>
      </c>
      <c r="K48" s="336">
        <f>'h21'!I18</f>
        <v>0</v>
      </c>
      <c r="L48" s="920">
        <f t="shared" si="6"/>
        <v>98.50187265917603</v>
      </c>
      <c r="M48" s="917">
        <f t="shared" si="7"/>
        <v>4.996197718631179</v>
      </c>
      <c r="N48" s="346">
        <f t="shared" si="8"/>
        <v>9.5</v>
      </c>
      <c r="O48" s="346">
        <f t="shared" si="9"/>
        <v>0</v>
      </c>
      <c r="P48" s="346">
        <f t="shared" si="10"/>
        <v>0</v>
      </c>
      <c r="Q48" s="587"/>
    </row>
    <row r="49" spans="1:17" x14ac:dyDescent="0.25">
      <c r="A49" s="345" t="s">
        <v>159</v>
      </c>
      <c r="B49" s="336">
        <f>'h21'!B19</f>
        <v>179</v>
      </c>
      <c r="C49" s="336">
        <f>'h21'!C19</f>
        <v>949</v>
      </c>
      <c r="D49" s="336">
        <f>'h21'!D19</f>
        <v>10</v>
      </c>
      <c r="E49" s="336">
        <f>'h21'!E19</f>
        <v>68.5</v>
      </c>
      <c r="F49" s="337">
        <f t="shared" si="4"/>
        <v>189</v>
      </c>
      <c r="G49" s="348">
        <f t="shared" si="5"/>
        <v>1017.5</v>
      </c>
      <c r="H49" s="923">
        <f>'h21'!F19</f>
        <v>1</v>
      </c>
      <c r="I49" s="336">
        <f>'h21'!G19</f>
        <v>0</v>
      </c>
      <c r="J49" s="336">
        <f>'h21'!H19</f>
        <v>0</v>
      </c>
      <c r="K49" s="336">
        <f>'h21'!I19</f>
        <v>0</v>
      </c>
      <c r="L49" s="920">
        <f t="shared" si="6"/>
        <v>94.708994708994709</v>
      </c>
      <c r="M49" s="917">
        <f t="shared" si="7"/>
        <v>5.3016759776536313</v>
      </c>
      <c r="N49" s="346">
        <f t="shared" si="8"/>
        <v>6.85</v>
      </c>
      <c r="O49" s="346">
        <f t="shared" si="9"/>
        <v>0</v>
      </c>
      <c r="P49" s="346">
        <f t="shared" si="10"/>
        <v>0</v>
      </c>
      <c r="Q49" s="587"/>
    </row>
    <row r="50" spans="1:17" ht="15.75" thickBot="1" x14ac:dyDescent="0.3">
      <c r="A50" s="41" t="s">
        <v>840</v>
      </c>
      <c r="B50" s="349">
        <f>SUM(B35:B49)</f>
        <v>7508</v>
      </c>
      <c r="C50" s="349">
        <f>SUM(C35:C49)</f>
        <v>36452.25</v>
      </c>
      <c r="D50" s="349">
        <f t="shared" ref="D50:E50" si="11">SUM(D35:D49)</f>
        <v>364</v>
      </c>
      <c r="E50" s="349">
        <f t="shared" si="11"/>
        <v>3759.25</v>
      </c>
      <c r="F50" s="349">
        <f t="shared" ref="F50:K50" si="12">SUM(F35:F49)</f>
        <v>7872</v>
      </c>
      <c r="G50" s="349">
        <f>SUM(G35:G49)</f>
        <v>40211.5</v>
      </c>
      <c r="H50" s="924">
        <f t="shared" si="12"/>
        <v>21</v>
      </c>
      <c r="I50" s="349">
        <f t="shared" si="12"/>
        <v>518</v>
      </c>
      <c r="J50" s="349">
        <f t="shared" si="12"/>
        <v>20</v>
      </c>
      <c r="K50" s="349">
        <f t="shared" si="12"/>
        <v>237.5</v>
      </c>
      <c r="L50" s="921">
        <f t="shared" si="6"/>
        <v>95.376016260162601</v>
      </c>
      <c r="M50" s="918">
        <f t="shared" si="7"/>
        <v>4.8551212040490146</v>
      </c>
      <c r="N50" s="350">
        <f t="shared" si="8"/>
        <v>10.327609890109891</v>
      </c>
      <c r="O50" s="350">
        <f t="shared" si="9"/>
        <v>24.666666666666668</v>
      </c>
      <c r="P50" s="350">
        <f t="shared" si="10"/>
        <v>11.875</v>
      </c>
    </row>
    <row r="51" spans="1:17" x14ac:dyDescent="0.25">
      <c r="A51" s="36"/>
      <c r="B51" s="351"/>
      <c r="C51" s="351"/>
      <c r="D51" s="351"/>
      <c r="E51" s="351"/>
      <c r="F51" s="351"/>
      <c r="G51" s="352"/>
      <c r="H51" s="351"/>
      <c r="I51" s="353"/>
      <c r="J51" s="354"/>
      <c r="K51" s="354"/>
      <c r="L51" s="391"/>
      <c r="M51" s="355"/>
      <c r="N51" s="355"/>
      <c r="O51" s="356"/>
    </row>
    <row r="52" spans="1:17" x14ac:dyDescent="0.25">
      <c r="A52" s="518" t="s">
        <v>8</v>
      </c>
      <c r="B52" s="16"/>
      <c r="C52" s="16"/>
      <c r="D52" s="16"/>
      <c r="E52" s="16"/>
      <c r="F52" s="389"/>
      <c r="G52" s="389"/>
      <c r="H52" s="16"/>
      <c r="I52" s="16"/>
      <c r="J52" s="16"/>
      <c r="K52" s="16"/>
      <c r="L52" s="16"/>
      <c r="M52" s="16"/>
      <c r="N52" s="16"/>
      <c r="O52" s="16"/>
    </row>
    <row r="53" spans="1:17" ht="30" customHeight="1" x14ac:dyDescent="0.25">
      <c r="A53" s="1041" t="s">
        <v>878</v>
      </c>
      <c r="B53" s="1041"/>
      <c r="C53" s="1041"/>
      <c r="D53" s="1041"/>
      <c r="E53" s="1041"/>
      <c r="F53" s="1041"/>
      <c r="G53" s="1041"/>
      <c r="H53" s="1041"/>
      <c r="I53" s="1041"/>
      <c r="J53" s="1041"/>
      <c r="K53" s="1041"/>
      <c r="L53" s="1041"/>
      <c r="M53" s="1041"/>
      <c r="N53" s="1041"/>
      <c r="O53" s="1041"/>
      <c r="P53" s="1041"/>
    </row>
    <row r="54" spans="1:17" x14ac:dyDescent="0.25">
      <c r="A54" s="498" t="s">
        <v>879</v>
      </c>
      <c r="B54" s="16"/>
      <c r="C54" s="16"/>
      <c r="D54" s="16"/>
      <c r="E54" s="16"/>
      <c r="F54" s="16"/>
      <c r="G54" s="16"/>
      <c r="H54" s="16"/>
      <c r="I54" s="16"/>
      <c r="J54" s="16"/>
      <c r="K54" s="16"/>
      <c r="L54" s="16"/>
      <c r="M54" s="16"/>
      <c r="N54" s="16"/>
      <c r="O54" s="16"/>
    </row>
    <row r="55" spans="1:17" x14ac:dyDescent="0.25">
      <c r="A55" s="498" t="s">
        <v>877</v>
      </c>
      <c r="B55" s="485"/>
      <c r="C55" s="485"/>
      <c r="D55" s="485"/>
      <c r="E55" s="485"/>
      <c r="F55" s="485"/>
      <c r="G55" s="485"/>
      <c r="H55" s="485"/>
      <c r="I55" s="485"/>
      <c r="J55" s="485"/>
      <c r="K55" s="485"/>
      <c r="L55" s="485"/>
      <c r="M55" s="485"/>
      <c r="N55" s="485"/>
      <c r="O55" s="485"/>
    </row>
  </sheetData>
  <sheetProtection algorithmName="SHA-512" hashValue="FCB/iad8kEeV8xnrj0TAXTYrFWt1V+SFcO+y9wI+gBS60zHP5xxYLIW+9n2xc8HXnBG88WgQxx+AvWQn7MEQ2Q==" saltValue="HTWeAz/tNf89oJ6C4ncOfA==" spinCount="100000" sheet="1" scenarios="1" pivotTables="0"/>
  <mergeCells count="16">
    <mergeCell ref="A53:P53"/>
    <mergeCell ref="A4:O4"/>
    <mergeCell ref="B9:C9"/>
    <mergeCell ref="D9:E9"/>
    <mergeCell ref="F9:G9"/>
    <mergeCell ref="H9:I9"/>
    <mergeCell ref="J9:K9"/>
    <mergeCell ref="M9:O9"/>
    <mergeCell ref="A24:P24"/>
    <mergeCell ref="A28:O28"/>
    <mergeCell ref="B33:C33"/>
    <mergeCell ref="D33:E33"/>
    <mergeCell ref="F33:G33"/>
    <mergeCell ref="H33:I33"/>
    <mergeCell ref="J33:K33"/>
    <mergeCell ref="M33:O33"/>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62" orientation="landscape" r:id="rId1"/>
  <drawing r:id="rId2"/>
  <extLst>
    <ext xmlns:x14="http://schemas.microsoft.com/office/spreadsheetml/2009/9/main" uri="{A8765BA9-456A-4dab-B4F3-ACF838C121DE}">
      <x14:slicerList>
        <x14:slicer r:id="rId3"/>
      </x14:slicerList>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3" tint="0.39997558519241921"/>
  </sheetPr>
  <dimension ref="A2:I20"/>
  <sheetViews>
    <sheetView workbookViewId="0">
      <selection activeCell="F15" sqref="F15"/>
    </sheetView>
  </sheetViews>
  <sheetFormatPr defaultRowHeight="15" x14ac:dyDescent="0.25"/>
  <cols>
    <col min="1" max="1" width="13.140625" customWidth="1"/>
    <col min="2" max="2" width="14.140625" customWidth="1"/>
    <col min="3" max="3" width="15.140625" bestFit="1" customWidth="1"/>
    <col min="4" max="4" width="14" bestFit="1" customWidth="1"/>
    <col min="5" max="5" width="15" bestFit="1" customWidth="1"/>
    <col min="6" max="6" width="24.5703125" customWidth="1"/>
    <col min="7" max="7" width="25.7109375" customWidth="1"/>
    <col min="8" max="8" width="23.140625" customWidth="1"/>
    <col min="9" max="9" width="24.140625" customWidth="1"/>
  </cols>
  <sheetData>
    <row r="2" spans="1:9" x14ac:dyDescent="0.25">
      <c r="A2" s="569" t="s">
        <v>334</v>
      </c>
      <c r="B2" t="s">
        <v>258</v>
      </c>
    </row>
    <row r="4" spans="1:9" x14ac:dyDescent="0.25">
      <c r="A4" s="569" t="s">
        <v>250</v>
      </c>
      <c r="B4" t="s">
        <v>457</v>
      </c>
      <c r="C4" t="s">
        <v>458</v>
      </c>
      <c r="D4" t="s">
        <v>459</v>
      </c>
      <c r="E4" t="s">
        <v>460</v>
      </c>
      <c r="F4" t="s">
        <v>461</v>
      </c>
      <c r="G4" t="s">
        <v>463</v>
      </c>
      <c r="H4" t="s">
        <v>462</v>
      </c>
      <c r="I4" t="s">
        <v>464</v>
      </c>
    </row>
    <row r="5" spans="1:9" x14ac:dyDescent="0.25">
      <c r="A5" s="986" t="s">
        <v>442</v>
      </c>
      <c r="B5" s="571">
        <v>449</v>
      </c>
      <c r="C5" s="571">
        <v>2244.5</v>
      </c>
      <c r="D5" s="571">
        <v>22</v>
      </c>
      <c r="E5" s="571">
        <v>166.5</v>
      </c>
      <c r="F5" s="571"/>
      <c r="G5" s="571"/>
      <c r="H5" s="571"/>
      <c r="I5" s="571"/>
    </row>
    <row r="6" spans="1:9" x14ac:dyDescent="0.25">
      <c r="A6" s="986" t="s">
        <v>443</v>
      </c>
      <c r="B6" s="571">
        <v>1731</v>
      </c>
      <c r="C6" s="571">
        <v>9112.75</v>
      </c>
      <c r="D6" s="571">
        <v>44</v>
      </c>
      <c r="E6" s="571">
        <v>463.25</v>
      </c>
      <c r="F6" s="571">
        <v>1</v>
      </c>
      <c r="G6" s="571">
        <v>33.25</v>
      </c>
      <c r="H6" s="571"/>
      <c r="I6" s="571"/>
    </row>
    <row r="7" spans="1:9" x14ac:dyDescent="0.25">
      <c r="A7" s="986" t="s">
        <v>444</v>
      </c>
      <c r="B7" s="571">
        <v>1804</v>
      </c>
      <c r="C7" s="571">
        <v>6780</v>
      </c>
      <c r="D7" s="571">
        <v>58</v>
      </c>
      <c r="E7" s="571">
        <v>572.5</v>
      </c>
      <c r="F7" s="571">
        <v>5</v>
      </c>
      <c r="G7" s="571">
        <v>167.25</v>
      </c>
      <c r="H7" s="571">
        <v>12</v>
      </c>
      <c r="I7" s="571">
        <v>181.25</v>
      </c>
    </row>
    <row r="8" spans="1:9" x14ac:dyDescent="0.25">
      <c r="A8" s="986" t="s">
        <v>445</v>
      </c>
      <c r="B8" s="571">
        <v>85</v>
      </c>
      <c r="C8" s="571">
        <v>435.5</v>
      </c>
      <c r="D8" s="571">
        <v>3</v>
      </c>
      <c r="E8" s="571">
        <v>61.25</v>
      </c>
      <c r="F8" s="571">
        <v>1</v>
      </c>
      <c r="G8" s="571">
        <v>38.25</v>
      </c>
      <c r="H8" s="571"/>
      <c r="I8" s="571"/>
    </row>
    <row r="9" spans="1:9" x14ac:dyDescent="0.25">
      <c r="A9" s="986" t="s">
        <v>446</v>
      </c>
      <c r="B9" s="571">
        <v>921</v>
      </c>
      <c r="C9" s="571">
        <v>5130.75</v>
      </c>
      <c r="D9" s="571">
        <v>109</v>
      </c>
      <c r="E9" s="571">
        <v>1313.75</v>
      </c>
      <c r="F9" s="571">
        <v>5</v>
      </c>
      <c r="G9" s="571">
        <v>154</v>
      </c>
      <c r="H9" s="571">
        <v>4</v>
      </c>
      <c r="I9" s="571">
        <v>34</v>
      </c>
    </row>
    <row r="10" spans="1:9" x14ac:dyDescent="0.25">
      <c r="A10" s="986" t="s">
        <v>447</v>
      </c>
      <c r="B10" s="571">
        <v>301</v>
      </c>
      <c r="C10" s="571">
        <v>1377.25</v>
      </c>
      <c r="D10" s="571">
        <v>22</v>
      </c>
      <c r="E10" s="571">
        <v>192.75</v>
      </c>
      <c r="F10" s="571"/>
      <c r="G10" s="571"/>
      <c r="H10" s="571"/>
      <c r="I10" s="571"/>
    </row>
    <row r="11" spans="1:9" x14ac:dyDescent="0.25">
      <c r="A11" s="986" t="s">
        <v>448</v>
      </c>
      <c r="B11" s="571">
        <v>30</v>
      </c>
      <c r="C11" s="571">
        <v>199.75</v>
      </c>
      <c r="D11" s="571">
        <v>1</v>
      </c>
      <c r="E11" s="571">
        <v>11.25</v>
      </c>
      <c r="F11" s="571"/>
      <c r="G11" s="571"/>
      <c r="H11" s="571"/>
      <c r="I11" s="571"/>
    </row>
    <row r="12" spans="1:9" x14ac:dyDescent="0.25">
      <c r="A12" s="986" t="s">
        <v>449</v>
      </c>
      <c r="B12" s="571">
        <v>59</v>
      </c>
      <c r="C12" s="571">
        <v>321.75</v>
      </c>
      <c r="D12" s="571">
        <v>1</v>
      </c>
      <c r="E12" s="571">
        <v>14</v>
      </c>
      <c r="F12" s="571"/>
      <c r="G12" s="571"/>
      <c r="H12" s="571"/>
      <c r="I12" s="571"/>
    </row>
    <row r="13" spans="1:9" x14ac:dyDescent="0.25">
      <c r="A13" s="986" t="s">
        <v>450</v>
      </c>
      <c r="B13" s="571">
        <v>329</v>
      </c>
      <c r="C13" s="571">
        <v>1704</v>
      </c>
      <c r="D13" s="571">
        <v>45</v>
      </c>
      <c r="E13" s="571">
        <v>386.75</v>
      </c>
      <c r="F13" s="571">
        <v>5</v>
      </c>
      <c r="G13" s="571">
        <v>80</v>
      </c>
      <c r="H13" s="571"/>
      <c r="I13" s="571"/>
    </row>
    <row r="14" spans="1:9" x14ac:dyDescent="0.25">
      <c r="A14" s="986" t="s">
        <v>451</v>
      </c>
      <c r="B14" s="571">
        <v>457</v>
      </c>
      <c r="C14" s="571">
        <v>2188.5</v>
      </c>
      <c r="D14" s="571">
        <v>13</v>
      </c>
      <c r="E14" s="571">
        <v>156.75</v>
      </c>
      <c r="F14" s="571"/>
      <c r="G14" s="571"/>
      <c r="H14" s="571"/>
      <c r="I14" s="571"/>
    </row>
    <row r="15" spans="1:9" x14ac:dyDescent="0.25">
      <c r="A15" s="986" t="s">
        <v>452</v>
      </c>
      <c r="B15" s="571">
        <v>366</v>
      </c>
      <c r="C15" s="571">
        <v>1827.5</v>
      </c>
      <c r="D15" s="571">
        <v>16</v>
      </c>
      <c r="E15" s="571">
        <v>156.5</v>
      </c>
      <c r="F15" s="571">
        <v>3</v>
      </c>
      <c r="G15" s="571">
        <v>45.25</v>
      </c>
      <c r="H15" s="571">
        <v>3</v>
      </c>
      <c r="I15" s="571">
        <v>16</v>
      </c>
    </row>
    <row r="16" spans="1:9" x14ac:dyDescent="0.25">
      <c r="A16" s="986" t="s">
        <v>453</v>
      </c>
      <c r="B16" s="571">
        <v>273</v>
      </c>
      <c r="C16" s="571">
        <v>1407.5</v>
      </c>
      <c r="D16" s="571">
        <v>10</v>
      </c>
      <c r="E16" s="571">
        <v>106.75</v>
      </c>
      <c r="F16" s="571"/>
      <c r="G16" s="571"/>
      <c r="H16" s="571">
        <v>1</v>
      </c>
      <c r="I16" s="571">
        <v>6.25</v>
      </c>
    </row>
    <row r="17" spans="1:9" x14ac:dyDescent="0.25">
      <c r="A17" s="986" t="s">
        <v>454</v>
      </c>
      <c r="B17" s="571">
        <v>261</v>
      </c>
      <c r="C17" s="571">
        <v>1459.5</v>
      </c>
      <c r="D17" s="571">
        <v>6</v>
      </c>
      <c r="E17" s="571">
        <v>50.75</v>
      </c>
      <c r="F17" s="571"/>
      <c r="G17" s="571"/>
      <c r="H17" s="571"/>
      <c r="I17" s="571"/>
    </row>
    <row r="18" spans="1:9" x14ac:dyDescent="0.25">
      <c r="A18" s="986" t="s">
        <v>455</v>
      </c>
      <c r="B18" s="571">
        <v>263</v>
      </c>
      <c r="C18" s="571">
        <v>1314</v>
      </c>
      <c r="D18" s="571">
        <v>4</v>
      </c>
      <c r="E18" s="571">
        <v>38</v>
      </c>
      <c r="F18" s="571"/>
      <c r="G18" s="571"/>
      <c r="H18" s="571"/>
      <c r="I18" s="571"/>
    </row>
    <row r="19" spans="1:9" x14ac:dyDescent="0.25">
      <c r="A19" s="986" t="s">
        <v>456</v>
      </c>
      <c r="B19" s="571">
        <v>179</v>
      </c>
      <c r="C19" s="571">
        <v>949</v>
      </c>
      <c r="D19" s="571">
        <v>10</v>
      </c>
      <c r="E19" s="571">
        <v>68.5</v>
      </c>
      <c r="F19" s="571">
        <v>1</v>
      </c>
      <c r="G19" s="571"/>
      <c r="H19" s="571"/>
      <c r="I19" s="571"/>
    </row>
    <row r="20" spans="1:9" x14ac:dyDescent="0.25">
      <c r="A20" s="986" t="s">
        <v>255</v>
      </c>
      <c r="B20" s="571">
        <v>7508</v>
      </c>
      <c r="C20" s="571">
        <v>36452.25</v>
      </c>
      <c r="D20" s="571">
        <v>364</v>
      </c>
      <c r="E20" s="571">
        <v>3759.25</v>
      </c>
      <c r="F20" s="571">
        <v>21</v>
      </c>
      <c r="G20" s="571">
        <v>518</v>
      </c>
      <c r="H20" s="571">
        <v>20</v>
      </c>
      <c r="I20" s="571">
        <v>237.5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3" tint="0.39997558519241921"/>
    <pageSetUpPr fitToPage="1"/>
  </sheetPr>
  <dimension ref="A1:O49"/>
  <sheetViews>
    <sheetView showGridLines="0" workbookViewId="0">
      <pane ySplit="2" topLeftCell="A3" activePane="bottomLeft" state="frozen"/>
      <selection sqref="A1:C1"/>
      <selection pane="bottomLeft" sqref="A1:C1"/>
    </sheetView>
  </sheetViews>
  <sheetFormatPr defaultRowHeight="15" x14ac:dyDescent="0.25"/>
  <cols>
    <col min="1" max="1" width="16.5703125" customWidth="1"/>
    <col min="2" max="2" width="23.28515625" customWidth="1"/>
    <col min="3" max="3" width="11.5703125" customWidth="1"/>
    <col min="4" max="4" width="10.85546875" customWidth="1"/>
    <col min="5" max="6" width="11.5703125" customWidth="1"/>
    <col min="7" max="10" width="9.7109375" customWidth="1"/>
    <col min="11" max="11" width="10.28515625" customWidth="1"/>
    <col min="12" max="12" width="9.7109375" customWidth="1"/>
    <col min="13" max="13" width="11.28515625" bestFit="1" customWidth="1"/>
    <col min="14" max="14" width="14.28515625" customWidth="1"/>
    <col min="15" max="15" width="13.5703125" customWidth="1"/>
  </cols>
  <sheetData>
    <row r="1" spans="1:15" ht="15.75" x14ac:dyDescent="0.25">
      <c r="A1" s="822" t="s">
        <v>655</v>
      </c>
    </row>
    <row r="2" spans="1:15" x14ac:dyDescent="0.25">
      <c r="A2" s="790" t="s">
        <v>598</v>
      </c>
    </row>
    <row r="3" spans="1:15" x14ac:dyDescent="0.25">
      <c r="A3" s="31"/>
    </row>
    <row r="4" spans="1:15" ht="15.75" customHeight="1" x14ac:dyDescent="0.25">
      <c r="A4" s="876" t="s">
        <v>672</v>
      </c>
      <c r="B4" s="876"/>
      <c r="C4" s="876"/>
      <c r="D4" s="876"/>
      <c r="E4" s="876"/>
      <c r="F4" s="876"/>
      <c r="G4" s="876"/>
      <c r="H4" s="876"/>
      <c r="I4" s="876"/>
      <c r="J4" s="876"/>
      <c r="K4" s="876"/>
    </row>
    <row r="5" spans="1:15" ht="15.75" x14ac:dyDescent="0.25">
      <c r="A5" t="s">
        <v>368</v>
      </c>
      <c r="B5" t="s">
        <v>820</v>
      </c>
      <c r="C5" s="802"/>
      <c r="D5" s="802"/>
      <c r="E5" s="802"/>
      <c r="F5" s="802"/>
      <c r="G5" s="802"/>
      <c r="H5" s="802"/>
      <c r="I5" s="802"/>
      <c r="J5" s="802"/>
      <c r="K5" s="802"/>
    </row>
    <row r="6" spans="1:15" ht="15.75" x14ac:dyDescent="0.25">
      <c r="A6" t="s">
        <v>369</v>
      </c>
      <c r="B6" t="s">
        <v>371</v>
      </c>
      <c r="C6" s="802"/>
      <c r="D6" s="802"/>
      <c r="E6" s="802"/>
      <c r="F6" s="802"/>
      <c r="G6" s="802"/>
      <c r="H6" s="802"/>
      <c r="I6" s="802"/>
      <c r="J6" s="802"/>
      <c r="K6" s="802"/>
    </row>
    <row r="7" spans="1:15" ht="15.75" x14ac:dyDescent="0.25">
      <c r="A7" t="s">
        <v>370</v>
      </c>
      <c r="B7" t="s">
        <v>372</v>
      </c>
      <c r="C7" s="802"/>
      <c r="D7" s="802"/>
      <c r="E7" s="802"/>
      <c r="F7" s="802"/>
      <c r="G7" s="802"/>
      <c r="H7" s="802"/>
      <c r="I7" s="802"/>
      <c r="J7" s="802"/>
      <c r="K7" s="802"/>
    </row>
    <row r="9" spans="1:15" ht="30.75" customHeight="1" x14ac:dyDescent="0.25">
      <c r="B9" s="13"/>
      <c r="C9" s="1042" t="s">
        <v>663</v>
      </c>
      <c r="D9" s="1042"/>
      <c r="E9" s="1042" t="s">
        <v>664</v>
      </c>
      <c r="F9" s="1042"/>
      <c r="G9" s="1042" t="s">
        <v>165</v>
      </c>
      <c r="H9" s="1042"/>
      <c r="I9" s="1042" t="s">
        <v>166</v>
      </c>
      <c r="J9" s="1042"/>
      <c r="K9" s="1042" t="s">
        <v>167</v>
      </c>
      <c r="L9" s="1042"/>
      <c r="M9" s="13"/>
      <c r="N9" s="13"/>
      <c r="O9" s="13"/>
    </row>
    <row r="10" spans="1:15" ht="39" x14ac:dyDescent="0.25">
      <c r="A10" s="879" t="s">
        <v>534</v>
      </c>
      <c r="B10" s="327" t="s">
        <v>123</v>
      </c>
      <c r="C10" s="357" t="s">
        <v>6</v>
      </c>
      <c r="D10" s="357" t="s">
        <v>169</v>
      </c>
      <c r="E10" s="357" t="s">
        <v>6</v>
      </c>
      <c r="F10" s="357" t="s">
        <v>169</v>
      </c>
      <c r="G10" s="358" t="s">
        <v>165</v>
      </c>
      <c r="H10" s="4" t="s">
        <v>174</v>
      </c>
      <c r="I10" s="357" t="s">
        <v>6</v>
      </c>
      <c r="J10" s="357" t="s">
        <v>169</v>
      </c>
      <c r="K10" s="357" t="s">
        <v>6</v>
      </c>
      <c r="L10" s="357" t="s">
        <v>169</v>
      </c>
      <c r="M10" s="931" t="s">
        <v>665</v>
      </c>
      <c r="N10" s="916" t="s">
        <v>663</v>
      </c>
      <c r="O10" s="932" t="s">
        <v>664</v>
      </c>
    </row>
    <row r="11" spans="1:15" ht="16.5" customHeight="1" x14ac:dyDescent="0.25">
      <c r="A11" s="573" t="s">
        <v>306</v>
      </c>
      <c r="B11" s="914" t="s">
        <v>31</v>
      </c>
      <c r="C11" s="392">
        <f>'h22'!B4</f>
        <v>349</v>
      </c>
      <c r="D11" s="392">
        <f>'h22'!C4</f>
        <v>2090</v>
      </c>
      <c r="E11" s="392">
        <f>'h22'!D4</f>
        <v>15</v>
      </c>
      <c r="F11" s="392">
        <f>'h22'!E4</f>
        <v>161</v>
      </c>
      <c r="G11" s="393">
        <f>E11+C11</f>
        <v>364</v>
      </c>
      <c r="H11" s="393">
        <f>F11+D11</f>
        <v>2251</v>
      </c>
      <c r="I11" s="359">
        <f>'h22'!F4</f>
        <v>0</v>
      </c>
      <c r="J11" s="359">
        <f>'h22'!G4</f>
        <v>0</v>
      </c>
      <c r="K11" s="359">
        <f>'h22'!H4</f>
        <v>2</v>
      </c>
      <c r="L11" s="359">
        <f>'h22'!I4</f>
        <v>4.5</v>
      </c>
      <c r="M11" s="933">
        <f>C11/G11</f>
        <v>0.95879120879120883</v>
      </c>
      <c r="N11" s="360">
        <f>D11/C11</f>
        <v>5.9885386819484241</v>
      </c>
      <c r="O11" s="360">
        <f>F11/E11</f>
        <v>10.733333333333333</v>
      </c>
    </row>
    <row r="12" spans="1:15" x14ac:dyDescent="0.25">
      <c r="A12" s="573" t="s">
        <v>307</v>
      </c>
      <c r="B12" s="914" t="s">
        <v>32</v>
      </c>
      <c r="C12" s="394">
        <f>'h22'!B5</f>
        <v>344</v>
      </c>
      <c r="D12" s="394">
        <f>'h22'!C5</f>
        <v>1895</v>
      </c>
      <c r="E12" s="394">
        <f>'h22'!D5</f>
        <v>29</v>
      </c>
      <c r="F12" s="394">
        <f>'h22'!E5</f>
        <v>240.5</v>
      </c>
      <c r="G12" s="395">
        <f t="shared" ref="G12:G42" si="0">E12+C12</f>
        <v>373</v>
      </c>
      <c r="H12" s="395">
        <f t="shared" ref="H12:H42" si="1">F12+D12</f>
        <v>2135.5</v>
      </c>
      <c r="I12" s="119">
        <f>'h22'!F5</f>
        <v>0</v>
      </c>
      <c r="J12" s="119">
        <f>'h22'!G5</f>
        <v>0</v>
      </c>
      <c r="K12" s="119">
        <f>'h22'!H5</f>
        <v>1</v>
      </c>
      <c r="L12" s="119">
        <f>'h22'!I5</f>
        <v>7.5</v>
      </c>
      <c r="M12" s="934">
        <f t="shared" ref="M12:M42" si="2">C12/G12</f>
        <v>0.92225201072386054</v>
      </c>
      <c r="N12" s="120">
        <f t="shared" ref="N12:N42" si="3">D12/C12</f>
        <v>5.5087209302325579</v>
      </c>
      <c r="O12" s="120">
        <f t="shared" ref="O12:O42" si="4">F12/E12</f>
        <v>8.2931034482758612</v>
      </c>
    </row>
    <row r="13" spans="1:15" x14ac:dyDescent="0.25">
      <c r="A13" s="573" t="s">
        <v>313</v>
      </c>
      <c r="B13" s="914" t="s">
        <v>33</v>
      </c>
      <c r="C13" s="394">
        <f>'h22'!B6</f>
        <v>115</v>
      </c>
      <c r="D13" s="394">
        <f>'h22'!C6</f>
        <v>476.75</v>
      </c>
      <c r="E13" s="394">
        <f>'h22'!D6</f>
        <v>11</v>
      </c>
      <c r="F13" s="394">
        <f>'h22'!E6</f>
        <v>49.5</v>
      </c>
      <c r="G13" s="395">
        <f t="shared" si="0"/>
        <v>126</v>
      </c>
      <c r="H13" s="395">
        <f t="shared" si="1"/>
        <v>526.25</v>
      </c>
      <c r="I13" s="119">
        <f>'h22'!F6</f>
        <v>1</v>
      </c>
      <c r="J13" s="119">
        <f>'h22'!G6</f>
        <v>6</v>
      </c>
      <c r="K13" s="119">
        <f>'h22'!H6</f>
        <v>0</v>
      </c>
      <c r="L13" s="119">
        <f>'h22'!I6</f>
        <v>0</v>
      </c>
      <c r="M13" s="934">
        <f t="shared" si="2"/>
        <v>0.91269841269841268</v>
      </c>
      <c r="N13" s="120">
        <f t="shared" si="3"/>
        <v>4.1456521739130432</v>
      </c>
      <c r="O13" s="120">
        <f t="shared" si="4"/>
        <v>4.5</v>
      </c>
    </row>
    <row r="14" spans="1:15" x14ac:dyDescent="0.25">
      <c r="A14" s="573" t="s">
        <v>308</v>
      </c>
      <c r="B14" s="914" t="s">
        <v>34</v>
      </c>
      <c r="C14" s="394">
        <f>'h22'!B7</f>
        <v>205</v>
      </c>
      <c r="D14" s="394">
        <f>'h22'!C7</f>
        <v>1662</v>
      </c>
      <c r="E14" s="394">
        <f>'h22'!D7</f>
        <v>15</v>
      </c>
      <c r="F14" s="394">
        <f>'h22'!E7</f>
        <v>154.75</v>
      </c>
      <c r="G14" s="395">
        <f t="shared" si="0"/>
        <v>220</v>
      </c>
      <c r="H14" s="395">
        <f t="shared" si="1"/>
        <v>1816.75</v>
      </c>
      <c r="I14" s="119">
        <f>'h22'!F7</f>
        <v>0</v>
      </c>
      <c r="J14" s="119">
        <f>'h22'!G7</f>
        <v>0</v>
      </c>
      <c r="K14" s="119">
        <f>'h22'!H7</f>
        <v>0</v>
      </c>
      <c r="L14" s="119">
        <f>'h22'!I7</f>
        <v>0</v>
      </c>
      <c r="M14" s="934">
        <f t="shared" si="2"/>
        <v>0.93181818181818177</v>
      </c>
      <c r="N14" s="120">
        <f t="shared" si="3"/>
        <v>8.1073170731707318</v>
      </c>
      <c r="O14" s="120">
        <f t="shared" si="4"/>
        <v>10.316666666666666</v>
      </c>
    </row>
    <row r="15" spans="1:15" x14ac:dyDescent="0.25">
      <c r="A15" s="573" t="s">
        <v>309</v>
      </c>
      <c r="B15" s="914" t="s">
        <v>262</v>
      </c>
      <c r="C15" s="394">
        <f>'h22'!B8</f>
        <v>672</v>
      </c>
      <c r="D15" s="394">
        <f>'h22'!C8</f>
        <v>2918.5</v>
      </c>
      <c r="E15" s="394">
        <f>'h22'!D8</f>
        <v>42</v>
      </c>
      <c r="F15" s="394">
        <f>'h22'!E8</f>
        <v>362.75</v>
      </c>
      <c r="G15" s="395">
        <f t="shared" si="0"/>
        <v>714</v>
      </c>
      <c r="H15" s="395">
        <f t="shared" si="1"/>
        <v>3281.25</v>
      </c>
      <c r="I15" s="119">
        <f>'h22'!F8</f>
        <v>5</v>
      </c>
      <c r="J15" s="119">
        <f>'h22'!G8</f>
        <v>63.5</v>
      </c>
      <c r="K15" s="119">
        <f>'h22'!H8</f>
        <v>4</v>
      </c>
      <c r="L15" s="119">
        <f>'h22'!I8</f>
        <v>16</v>
      </c>
      <c r="M15" s="934">
        <f t="shared" si="2"/>
        <v>0.94117647058823528</v>
      </c>
      <c r="N15" s="120">
        <f t="shared" si="3"/>
        <v>4.3430059523809526</v>
      </c>
      <c r="O15" s="120">
        <f t="shared" si="4"/>
        <v>8.6369047619047628</v>
      </c>
    </row>
    <row r="16" spans="1:15" x14ac:dyDescent="0.25">
      <c r="A16" s="573" t="s">
        <v>287</v>
      </c>
      <c r="B16" s="914" t="s">
        <v>35</v>
      </c>
      <c r="C16" s="394">
        <f>'h22'!B9</f>
        <v>69</v>
      </c>
      <c r="D16" s="394">
        <f>'h22'!C9</f>
        <v>332.5</v>
      </c>
      <c r="E16" s="394">
        <f>'h22'!D9</f>
        <v>1</v>
      </c>
      <c r="F16" s="394">
        <f>'h22'!E9</f>
        <v>8.5</v>
      </c>
      <c r="G16" s="395">
        <f t="shared" si="0"/>
        <v>70</v>
      </c>
      <c r="H16" s="395">
        <f t="shared" si="1"/>
        <v>341</v>
      </c>
      <c r="I16" s="119">
        <f>'h22'!F9</f>
        <v>0</v>
      </c>
      <c r="J16" s="119">
        <f>'h22'!G9</f>
        <v>0</v>
      </c>
      <c r="K16" s="119">
        <f>'h22'!H9</f>
        <v>0</v>
      </c>
      <c r="L16" s="119">
        <f>'h22'!I9</f>
        <v>0</v>
      </c>
      <c r="M16" s="934">
        <f t="shared" si="2"/>
        <v>0.98571428571428577</v>
      </c>
      <c r="N16" s="120">
        <f t="shared" si="3"/>
        <v>4.8188405797101446</v>
      </c>
      <c r="O16" s="120">
        <f t="shared" si="4"/>
        <v>8.5</v>
      </c>
    </row>
    <row r="17" spans="1:15" x14ac:dyDescent="0.25">
      <c r="A17" s="573" t="s">
        <v>288</v>
      </c>
      <c r="B17" s="914" t="s">
        <v>36</v>
      </c>
      <c r="C17" s="394">
        <f>'h22'!B10</f>
        <v>420</v>
      </c>
      <c r="D17" s="394">
        <f>'h22'!C10</f>
        <v>2070.25</v>
      </c>
      <c r="E17" s="394">
        <f>'h22'!D10</f>
        <v>20</v>
      </c>
      <c r="F17" s="394">
        <f>'h22'!E10</f>
        <v>205.5</v>
      </c>
      <c r="G17" s="395">
        <f t="shared" si="0"/>
        <v>440</v>
      </c>
      <c r="H17" s="395">
        <f t="shared" si="1"/>
        <v>2275.75</v>
      </c>
      <c r="I17" s="119">
        <f>'h22'!F10</f>
        <v>2</v>
      </c>
      <c r="J17" s="119">
        <f>'h22'!G10</f>
        <v>17</v>
      </c>
      <c r="K17" s="119">
        <f>'h22'!H10</f>
        <v>0</v>
      </c>
      <c r="L17" s="119">
        <f>'h22'!I10</f>
        <v>0</v>
      </c>
      <c r="M17" s="934">
        <f t="shared" si="2"/>
        <v>0.95454545454545459</v>
      </c>
      <c r="N17" s="120">
        <f t="shared" si="3"/>
        <v>4.9291666666666663</v>
      </c>
      <c r="O17" s="120">
        <f t="shared" si="4"/>
        <v>10.275</v>
      </c>
    </row>
    <row r="18" spans="1:15" x14ac:dyDescent="0.25">
      <c r="A18" s="573" t="s">
        <v>314</v>
      </c>
      <c r="B18" s="914" t="s">
        <v>37</v>
      </c>
      <c r="C18" s="394">
        <f>'h22'!B11</f>
        <v>371</v>
      </c>
      <c r="D18" s="394">
        <f>'h22'!C11</f>
        <v>1559.5</v>
      </c>
      <c r="E18" s="394">
        <f>'h22'!D11</f>
        <v>10</v>
      </c>
      <c r="F18" s="394">
        <f>'h22'!E11</f>
        <v>90.75</v>
      </c>
      <c r="G18" s="395">
        <f t="shared" si="0"/>
        <v>381</v>
      </c>
      <c r="H18" s="395">
        <f t="shared" si="1"/>
        <v>1650.25</v>
      </c>
      <c r="I18" s="119">
        <f>'h22'!F11</f>
        <v>0</v>
      </c>
      <c r="J18" s="119">
        <f>'h22'!G11</f>
        <v>0</v>
      </c>
      <c r="K18" s="119">
        <f>'h22'!H11</f>
        <v>3</v>
      </c>
      <c r="L18" s="119">
        <f>'h22'!I11</f>
        <v>23.5</v>
      </c>
      <c r="M18" s="934">
        <f t="shared" si="2"/>
        <v>0.97375328083989499</v>
      </c>
      <c r="N18" s="120">
        <f t="shared" si="3"/>
        <v>4.203504043126685</v>
      </c>
      <c r="O18" s="120">
        <f t="shared" si="4"/>
        <v>9.0749999999999993</v>
      </c>
    </row>
    <row r="19" spans="1:15" x14ac:dyDescent="0.25">
      <c r="A19" s="573" t="s">
        <v>289</v>
      </c>
      <c r="B19" s="914" t="s">
        <v>38</v>
      </c>
      <c r="C19" s="394">
        <f>'h22'!B12</f>
        <v>138</v>
      </c>
      <c r="D19" s="394">
        <f>'h22'!C12</f>
        <v>837.25</v>
      </c>
      <c r="E19" s="394">
        <f>'h22'!D12</f>
        <v>7</v>
      </c>
      <c r="F19" s="394">
        <f>'h22'!E12</f>
        <v>59</v>
      </c>
      <c r="G19" s="395">
        <f t="shared" si="0"/>
        <v>145</v>
      </c>
      <c r="H19" s="395">
        <f t="shared" si="1"/>
        <v>896.25</v>
      </c>
      <c r="I19" s="119">
        <f>'h22'!F12</f>
        <v>0</v>
      </c>
      <c r="J19" s="119">
        <f>'h22'!G12</f>
        <v>0</v>
      </c>
      <c r="K19" s="119">
        <f>'h22'!H12</f>
        <v>0</v>
      </c>
      <c r="L19" s="119">
        <f>'h22'!I12</f>
        <v>0</v>
      </c>
      <c r="M19" s="934">
        <f t="shared" si="2"/>
        <v>0.9517241379310345</v>
      </c>
      <c r="N19" s="120">
        <f t="shared" si="3"/>
        <v>6.0670289855072461</v>
      </c>
      <c r="O19" s="120">
        <f t="shared" si="4"/>
        <v>8.4285714285714288</v>
      </c>
    </row>
    <row r="20" spans="1:15" x14ac:dyDescent="0.25">
      <c r="A20" s="573" t="s">
        <v>316</v>
      </c>
      <c r="B20" s="914" t="s">
        <v>39</v>
      </c>
      <c r="C20" s="394">
        <f>'h22'!B13</f>
        <v>82</v>
      </c>
      <c r="D20" s="394">
        <f>'h22'!C13</f>
        <v>447.75</v>
      </c>
      <c r="E20" s="394">
        <f>'h22'!D13</f>
        <v>2</v>
      </c>
      <c r="F20" s="394">
        <f>'h22'!E13</f>
        <v>30</v>
      </c>
      <c r="G20" s="395">
        <f t="shared" si="0"/>
        <v>84</v>
      </c>
      <c r="H20" s="395">
        <f t="shared" si="1"/>
        <v>477.75</v>
      </c>
      <c r="I20" s="119">
        <f>'h22'!F13</f>
        <v>0</v>
      </c>
      <c r="J20" s="119">
        <f>'h22'!G13</f>
        <v>0</v>
      </c>
      <c r="K20" s="119">
        <f>'h22'!H13</f>
        <v>0</v>
      </c>
      <c r="L20" s="119">
        <f>'h22'!I13</f>
        <v>0</v>
      </c>
      <c r="M20" s="934">
        <f t="shared" si="2"/>
        <v>0.97619047619047616</v>
      </c>
      <c r="N20" s="120">
        <f t="shared" si="3"/>
        <v>5.4603658536585362</v>
      </c>
      <c r="O20" s="120">
        <f t="shared" si="4"/>
        <v>15</v>
      </c>
    </row>
    <row r="21" spans="1:15" x14ac:dyDescent="0.25">
      <c r="A21" s="573" t="s">
        <v>290</v>
      </c>
      <c r="B21" s="914" t="s">
        <v>40</v>
      </c>
      <c r="C21" s="394">
        <f>'h22'!B14</f>
        <v>144</v>
      </c>
      <c r="D21" s="394">
        <f>'h22'!C14</f>
        <v>567.25</v>
      </c>
      <c r="E21" s="394">
        <f>'h22'!D14</f>
        <v>5</v>
      </c>
      <c r="F21" s="394">
        <f>'h22'!E14</f>
        <v>34.5</v>
      </c>
      <c r="G21" s="395">
        <f t="shared" si="0"/>
        <v>149</v>
      </c>
      <c r="H21" s="395">
        <f t="shared" si="1"/>
        <v>601.75</v>
      </c>
      <c r="I21" s="119">
        <f>'h22'!F14</f>
        <v>0</v>
      </c>
      <c r="J21" s="119">
        <f>'h22'!G14</f>
        <v>0</v>
      </c>
      <c r="K21" s="119">
        <f>'h22'!H14</f>
        <v>0</v>
      </c>
      <c r="L21" s="119">
        <f>'h22'!I14</f>
        <v>0</v>
      </c>
      <c r="M21" s="934">
        <f t="shared" si="2"/>
        <v>0.96644295302013428</v>
      </c>
      <c r="N21" s="120">
        <f t="shared" si="3"/>
        <v>3.9392361111111112</v>
      </c>
      <c r="O21" s="120">
        <f t="shared" si="4"/>
        <v>6.9</v>
      </c>
    </row>
    <row r="22" spans="1:15" x14ac:dyDescent="0.25">
      <c r="A22" s="573" t="s">
        <v>291</v>
      </c>
      <c r="B22" s="914" t="s">
        <v>41</v>
      </c>
      <c r="C22" s="394">
        <f>'h22'!B15</f>
        <v>34</v>
      </c>
      <c r="D22" s="394">
        <f>'h22'!C15</f>
        <v>234</v>
      </c>
      <c r="E22" s="394">
        <f>'h22'!D15</f>
        <v>2</v>
      </c>
      <c r="F22" s="394">
        <f>'h22'!E15</f>
        <v>18.75</v>
      </c>
      <c r="G22" s="395">
        <f t="shared" si="0"/>
        <v>36</v>
      </c>
      <c r="H22" s="395">
        <f t="shared" si="1"/>
        <v>252.75</v>
      </c>
      <c r="I22" s="119">
        <f>'h22'!F15</f>
        <v>0</v>
      </c>
      <c r="J22" s="119">
        <f>'h22'!G15</f>
        <v>0</v>
      </c>
      <c r="K22" s="119">
        <f>'h22'!H15</f>
        <v>0</v>
      </c>
      <c r="L22" s="119">
        <f>'h22'!I15</f>
        <v>0</v>
      </c>
      <c r="M22" s="934">
        <f t="shared" si="2"/>
        <v>0.94444444444444442</v>
      </c>
      <c r="N22" s="120">
        <f t="shared" si="3"/>
        <v>6.882352941176471</v>
      </c>
      <c r="O22" s="120">
        <f t="shared" si="4"/>
        <v>9.375</v>
      </c>
    </row>
    <row r="23" spans="1:15" x14ac:dyDescent="0.25">
      <c r="A23" s="573" t="s">
        <v>293</v>
      </c>
      <c r="B23" s="914" t="s">
        <v>42</v>
      </c>
      <c r="C23" s="394">
        <f>'h22'!B16</f>
        <v>201</v>
      </c>
      <c r="D23" s="394">
        <f>'h22'!C16</f>
        <v>1063.25</v>
      </c>
      <c r="E23" s="394">
        <f>'h22'!D16</f>
        <v>0</v>
      </c>
      <c r="F23" s="394">
        <f>'h22'!E16</f>
        <v>0</v>
      </c>
      <c r="G23" s="395">
        <f t="shared" si="0"/>
        <v>201</v>
      </c>
      <c r="H23" s="395">
        <f t="shared" si="1"/>
        <v>1063.25</v>
      </c>
      <c r="I23" s="119">
        <f>'h22'!F16</f>
        <v>0</v>
      </c>
      <c r="J23" s="119">
        <f>'h22'!G16</f>
        <v>0</v>
      </c>
      <c r="K23" s="119">
        <f>'h22'!H16</f>
        <v>0</v>
      </c>
      <c r="L23" s="119">
        <f>'h22'!I16</f>
        <v>0</v>
      </c>
      <c r="M23" s="934">
        <f t="shared" si="2"/>
        <v>1</v>
      </c>
      <c r="N23" s="120">
        <f t="shared" si="3"/>
        <v>5.2898009950248754</v>
      </c>
      <c r="O23" s="120" t="e">
        <f t="shared" si="4"/>
        <v>#DIV/0!</v>
      </c>
    </row>
    <row r="24" spans="1:15" x14ac:dyDescent="0.25">
      <c r="A24" s="573" t="s">
        <v>441</v>
      </c>
      <c r="B24" s="914" t="s">
        <v>43</v>
      </c>
      <c r="C24" s="394">
        <f>'h22'!B17</f>
        <v>644</v>
      </c>
      <c r="D24" s="394">
        <f>'h22'!C17</f>
        <v>2085.75</v>
      </c>
      <c r="E24" s="394">
        <f>'h22'!D17</f>
        <v>13</v>
      </c>
      <c r="F24" s="394">
        <f>'h22'!E17</f>
        <v>127</v>
      </c>
      <c r="G24" s="395">
        <f t="shared" si="0"/>
        <v>657</v>
      </c>
      <c r="H24" s="395">
        <f t="shared" si="1"/>
        <v>2212.75</v>
      </c>
      <c r="I24" s="119">
        <f>'h22'!F17</f>
        <v>2</v>
      </c>
      <c r="J24" s="119">
        <f>'h22'!G17</f>
        <v>52</v>
      </c>
      <c r="K24" s="119">
        <f>'h22'!H17</f>
        <v>0</v>
      </c>
      <c r="L24" s="119">
        <f>'h22'!I17</f>
        <v>0</v>
      </c>
      <c r="M24" s="934">
        <f t="shared" si="2"/>
        <v>0.98021308980213084</v>
      </c>
      <c r="N24" s="120">
        <f t="shared" si="3"/>
        <v>3.2387422360248448</v>
      </c>
      <c r="O24" s="120">
        <f t="shared" si="4"/>
        <v>9.7692307692307701</v>
      </c>
    </row>
    <row r="25" spans="1:15" x14ac:dyDescent="0.25">
      <c r="A25" s="573" t="s">
        <v>317</v>
      </c>
      <c r="B25" s="914" t="s">
        <v>124</v>
      </c>
      <c r="C25" s="394">
        <f>'h22'!B18</f>
        <v>1067</v>
      </c>
      <c r="D25" s="394">
        <f>'h22'!C18</f>
        <v>4671</v>
      </c>
      <c r="E25" s="394">
        <f>'h22'!D18</f>
        <v>59</v>
      </c>
      <c r="F25" s="394">
        <f>'h22'!E18</f>
        <v>525.75</v>
      </c>
      <c r="G25" s="395">
        <f t="shared" si="0"/>
        <v>1126</v>
      </c>
      <c r="H25" s="395">
        <f t="shared" si="1"/>
        <v>5196.75</v>
      </c>
      <c r="I25" s="119">
        <f>'h22'!F18</f>
        <v>3</v>
      </c>
      <c r="J25" s="119">
        <f>'h22'!G18</f>
        <v>49.25</v>
      </c>
      <c r="K25" s="119">
        <f>'h22'!H18</f>
        <v>0</v>
      </c>
      <c r="L25" s="119">
        <f>'h22'!I18</f>
        <v>0</v>
      </c>
      <c r="M25" s="934">
        <f t="shared" si="2"/>
        <v>0.94760213143872118</v>
      </c>
      <c r="N25" s="120">
        <f t="shared" si="3"/>
        <v>4.3776944704779757</v>
      </c>
      <c r="O25" s="120">
        <f t="shared" si="4"/>
        <v>8.9110169491525415</v>
      </c>
    </row>
    <row r="26" spans="1:15" x14ac:dyDescent="0.25">
      <c r="A26" s="573" t="s">
        <v>294</v>
      </c>
      <c r="B26" s="914" t="s">
        <v>44</v>
      </c>
      <c r="C26" s="394">
        <f>'h22'!B19</f>
        <v>172</v>
      </c>
      <c r="D26" s="394">
        <f>'h22'!C19</f>
        <v>1061.75</v>
      </c>
      <c r="E26" s="394">
        <f>'h22'!D19</f>
        <v>24</v>
      </c>
      <c r="F26" s="394">
        <f>'h22'!E19</f>
        <v>392.5</v>
      </c>
      <c r="G26" s="395">
        <f t="shared" si="0"/>
        <v>196</v>
      </c>
      <c r="H26" s="395">
        <f t="shared" si="1"/>
        <v>1454.25</v>
      </c>
      <c r="I26" s="119">
        <f>'h22'!F19</f>
        <v>1</v>
      </c>
      <c r="J26" s="119">
        <f>'h22'!G19</f>
        <v>70.75</v>
      </c>
      <c r="K26" s="119">
        <f>'h22'!H19</f>
        <v>7</v>
      </c>
      <c r="L26" s="119">
        <f>'h22'!I19</f>
        <v>123</v>
      </c>
      <c r="M26" s="934">
        <f t="shared" si="2"/>
        <v>0.87755102040816324</v>
      </c>
      <c r="N26" s="120">
        <f t="shared" si="3"/>
        <v>6.1729651162790695</v>
      </c>
      <c r="O26" s="120">
        <f t="shared" si="4"/>
        <v>16.354166666666668</v>
      </c>
    </row>
    <row r="27" spans="1:15" x14ac:dyDescent="0.25">
      <c r="A27" s="573" t="s">
        <v>295</v>
      </c>
      <c r="B27" s="914" t="s">
        <v>45</v>
      </c>
      <c r="C27" s="394">
        <f>'h22'!B20</f>
        <v>73</v>
      </c>
      <c r="D27" s="394">
        <f>'h22'!C20</f>
        <v>338.75</v>
      </c>
      <c r="E27" s="394">
        <f>'h22'!D20</f>
        <v>5</v>
      </c>
      <c r="F27" s="394">
        <f>'h22'!E20</f>
        <v>63</v>
      </c>
      <c r="G27" s="395">
        <f t="shared" si="0"/>
        <v>78</v>
      </c>
      <c r="H27" s="395">
        <f t="shared" si="1"/>
        <v>401.75</v>
      </c>
      <c r="I27" s="119">
        <f>'h22'!F20</f>
        <v>1</v>
      </c>
      <c r="J27" s="119">
        <f>'h22'!G20</f>
        <v>33.25</v>
      </c>
      <c r="K27" s="119">
        <f>'h22'!H20</f>
        <v>0</v>
      </c>
      <c r="L27" s="119">
        <f>'h22'!I20</f>
        <v>0</v>
      </c>
      <c r="M27" s="934">
        <f t="shared" si="2"/>
        <v>0.9358974358974359</v>
      </c>
      <c r="N27" s="120">
        <f t="shared" si="3"/>
        <v>4.6404109589041092</v>
      </c>
      <c r="O27" s="120">
        <f t="shared" si="4"/>
        <v>12.6</v>
      </c>
    </row>
    <row r="28" spans="1:15" x14ac:dyDescent="0.25">
      <c r="A28" s="573" t="s">
        <v>296</v>
      </c>
      <c r="B28" s="914" t="s">
        <v>46</v>
      </c>
      <c r="C28" s="394">
        <f>'h22'!B21</f>
        <v>131</v>
      </c>
      <c r="D28" s="394">
        <f>'h22'!C21</f>
        <v>878.5</v>
      </c>
      <c r="E28" s="394">
        <f>'h22'!D21</f>
        <v>7</v>
      </c>
      <c r="F28" s="394">
        <f>'h22'!E21</f>
        <v>91.25</v>
      </c>
      <c r="G28" s="395">
        <f t="shared" si="0"/>
        <v>138</v>
      </c>
      <c r="H28" s="395">
        <f t="shared" si="1"/>
        <v>969.75</v>
      </c>
      <c r="I28" s="119">
        <f>'h22'!F21</f>
        <v>0</v>
      </c>
      <c r="J28" s="119">
        <f>'h22'!G21</f>
        <v>0</v>
      </c>
      <c r="K28" s="119">
        <f>'h22'!H21</f>
        <v>0</v>
      </c>
      <c r="L28" s="119">
        <f>'h22'!I21</f>
        <v>0</v>
      </c>
      <c r="M28" s="934">
        <f t="shared" si="2"/>
        <v>0.94927536231884058</v>
      </c>
      <c r="N28" s="120">
        <f t="shared" si="3"/>
        <v>6.7061068702290072</v>
      </c>
      <c r="O28" s="120">
        <f t="shared" si="4"/>
        <v>13.035714285714286</v>
      </c>
    </row>
    <row r="29" spans="1:15" x14ac:dyDescent="0.25">
      <c r="A29" s="573" t="s">
        <v>297</v>
      </c>
      <c r="B29" s="914" t="s">
        <v>47</v>
      </c>
      <c r="C29" s="394">
        <f>'h22'!B22</f>
        <v>124</v>
      </c>
      <c r="D29" s="394">
        <f>'h22'!C22</f>
        <v>579.75</v>
      </c>
      <c r="E29" s="394">
        <f>'h22'!D22</f>
        <v>6</v>
      </c>
      <c r="F29" s="394">
        <f>'h22'!E22</f>
        <v>75.25</v>
      </c>
      <c r="G29" s="395">
        <f t="shared" si="0"/>
        <v>130</v>
      </c>
      <c r="H29" s="395">
        <f t="shared" si="1"/>
        <v>655</v>
      </c>
      <c r="I29" s="119">
        <f>'h22'!F22</f>
        <v>0</v>
      </c>
      <c r="J29" s="119">
        <f>'h22'!G22</f>
        <v>0</v>
      </c>
      <c r="K29" s="119">
        <f>'h22'!H22</f>
        <v>1</v>
      </c>
      <c r="L29" s="119">
        <f>'h22'!I22</f>
        <v>0</v>
      </c>
      <c r="M29" s="934">
        <f t="shared" si="2"/>
        <v>0.9538461538461539</v>
      </c>
      <c r="N29" s="120">
        <f t="shared" si="3"/>
        <v>4.675403225806452</v>
      </c>
      <c r="O29" s="120">
        <f t="shared" si="4"/>
        <v>12.541666666666666</v>
      </c>
    </row>
    <row r="30" spans="1:15" x14ac:dyDescent="0.25">
      <c r="A30" s="573" t="s">
        <v>292</v>
      </c>
      <c r="B30" s="914" t="s">
        <v>48</v>
      </c>
      <c r="C30" s="394">
        <f>'h22'!B23</f>
        <v>21</v>
      </c>
      <c r="D30" s="394">
        <f>'h22'!C23</f>
        <v>73.5</v>
      </c>
      <c r="E30" s="394">
        <f>'h22'!D23</f>
        <v>0</v>
      </c>
      <c r="F30" s="394">
        <f>'h22'!E23</f>
        <v>0</v>
      </c>
      <c r="G30" s="395">
        <f t="shared" si="0"/>
        <v>21</v>
      </c>
      <c r="H30" s="395">
        <f t="shared" si="1"/>
        <v>73.5</v>
      </c>
      <c r="I30" s="119">
        <f>'h22'!F23</f>
        <v>0</v>
      </c>
      <c r="J30" s="119">
        <f>'h22'!G23</f>
        <v>0</v>
      </c>
      <c r="K30" s="119">
        <f>'h22'!H23</f>
        <v>0</v>
      </c>
      <c r="L30" s="119">
        <f>'h22'!I23</f>
        <v>0</v>
      </c>
      <c r="M30" s="934">
        <f t="shared" si="2"/>
        <v>1</v>
      </c>
      <c r="N30" s="120">
        <f t="shared" si="3"/>
        <v>3.5</v>
      </c>
      <c r="O30" s="120" t="e">
        <f t="shared" si="4"/>
        <v>#DIV/0!</v>
      </c>
    </row>
    <row r="31" spans="1:15" x14ac:dyDescent="0.25">
      <c r="A31" s="573" t="s">
        <v>298</v>
      </c>
      <c r="B31" s="914" t="s">
        <v>49</v>
      </c>
      <c r="C31" s="394">
        <f>'h22'!B24</f>
        <v>239</v>
      </c>
      <c r="D31" s="394">
        <f>'h22'!C24</f>
        <v>1222.25</v>
      </c>
      <c r="E31" s="394">
        <f>'h22'!D24</f>
        <v>5</v>
      </c>
      <c r="F31" s="394">
        <f>'h22'!E24</f>
        <v>47</v>
      </c>
      <c r="G31" s="395">
        <f t="shared" si="0"/>
        <v>244</v>
      </c>
      <c r="H31" s="395">
        <f t="shared" si="1"/>
        <v>1269.25</v>
      </c>
      <c r="I31" s="119">
        <f>'h22'!F24</f>
        <v>0</v>
      </c>
      <c r="J31" s="119">
        <f>'h22'!G24</f>
        <v>0</v>
      </c>
      <c r="K31" s="119">
        <f>'h22'!H24</f>
        <v>0</v>
      </c>
      <c r="L31" s="119">
        <f>'h22'!I24</f>
        <v>0</v>
      </c>
      <c r="M31" s="934">
        <f t="shared" si="2"/>
        <v>0.97950819672131151</v>
      </c>
      <c r="N31" s="120">
        <f t="shared" si="3"/>
        <v>5.1140167364016733</v>
      </c>
      <c r="O31" s="120">
        <f t="shared" si="4"/>
        <v>9.4</v>
      </c>
    </row>
    <row r="32" spans="1:15" x14ac:dyDescent="0.25">
      <c r="A32" s="573" t="s">
        <v>315</v>
      </c>
      <c r="B32" s="914" t="s">
        <v>50</v>
      </c>
      <c r="C32" s="394">
        <f>'h22'!B25</f>
        <v>294</v>
      </c>
      <c r="D32" s="394">
        <f>'h22'!C25</f>
        <v>1348</v>
      </c>
      <c r="E32" s="394">
        <f>'h22'!D25</f>
        <v>13</v>
      </c>
      <c r="F32" s="394">
        <f>'h22'!E25</f>
        <v>182.75</v>
      </c>
      <c r="G32" s="395">
        <f t="shared" si="0"/>
        <v>307</v>
      </c>
      <c r="H32" s="395">
        <f t="shared" si="1"/>
        <v>1530.75</v>
      </c>
      <c r="I32" s="119">
        <f>'h22'!F25</f>
        <v>2</v>
      </c>
      <c r="J32" s="119">
        <f>'h22'!G25</f>
        <v>68.75</v>
      </c>
      <c r="K32" s="119">
        <f>'h22'!H25</f>
        <v>1</v>
      </c>
      <c r="L32" s="119">
        <f>'h22'!I25</f>
        <v>63</v>
      </c>
      <c r="M32" s="934">
        <f t="shared" si="2"/>
        <v>0.95765472312703581</v>
      </c>
      <c r="N32" s="120">
        <f t="shared" si="3"/>
        <v>4.5850340136054424</v>
      </c>
      <c r="O32" s="120">
        <f t="shared" si="4"/>
        <v>14.057692307692308</v>
      </c>
    </row>
    <row r="33" spans="1:15" x14ac:dyDescent="0.25">
      <c r="A33" s="573" t="s">
        <v>299</v>
      </c>
      <c r="B33" s="914" t="s">
        <v>51</v>
      </c>
      <c r="C33" s="394">
        <f>'h22'!B26</f>
        <v>9</v>
      </c>
      <c r="D33" s="394">
        <f>'h22'!C26</f>
        <v>42.5</v>
      </c>
      <c r="E33" s="394">
        <f>'h22'!D26</f>
        <v>0</v>
      </c>
      <c r="F33" s="394">
        <f>'h22'!E26</f>
        <v>0</v>
      </c>
      <c r="G33" s="395">
        <f t="shared" si="0"/>
        <v>9</v>
      </c>
      <c r="H33" s="395">
        <f t="shared" si="1"/>
        <v>42.5</v>
      </c>
      <c r="I33" s="119">
        <f>'h22'!F26</f>
        <v>0</v>
      </c>
      <c r="J33" s="119">
        <f>'h22'!G26</f>
        <v>0</v>
      </c>
      <c r="K33" s="119">
        <f>'h22'!H26</f>
        <v>0</v>
      </c>
      <c r="L33" s="119">
        <f>'h22'!I26</f>
        <v>0</v>
      </c>
      <c r="M33" s="934">
        <f t="shared" si="2"/>
        <v>1</v>
      </c>
      <c r="N33" s="120">
        <f t="shared" si="3"/>
        <v>4.7222222222222223</v>
      </c>
      <c r="O33" s="120" t="e">
        <f t="shared" si="4"/>
        <v>#DIV/0!</v>
      </c>
    </row>
    <row r="34" spans="1:15" x14ac:dyDescent="0.25">
      <c r="A34" s="573" t="s">
        <v>300</v>
      </c>
      <c r="B34" s="914" t="s">
        <v>52</v>
      </c>
      <c r="C34" s="394">
        <f>'h22'!B27</f>
        <v>281</v>
      </c>
      <c r="D34" s="394">
        <f>'h22'!C27</f>
        <v>1204.5</v>
      </c>
      <c r="E34" s="394">
        <f>'h22'!D27</f>
        <v>12</v>
      </c>
      <c r="F34" s="394">
        <f>'h22'!E27</f>
        <v>81</v>
      </c>
      <c r="G34" s="395">
        <f t="shared" si="0"/>
        <v>293</v>
      </c>
      <c r="H34" s="395">
        <f t="shared" si="1"/>
        <v>1285.5</v>
      </c>
      <c r="I34" s="119">
        <f>'h22'!F27</f>
        <v>1</v>
      </c>
      <c r="J34" s="119">
        <f>'h22'!G27</f>
        <v>14.25</v>
      </c>
      <c r="K34" s="119">
        <f>'h22'!H27</f>
        <v>0</v>
      </c>
      <c r="L34" s="119">
        <f>'h22'!I27</f>
        <v>0</v>
      </c>
      <c r="M34" s="934">
        <f t="shared" si="2"/>
        <v>0.95904436860068254</v>
      </c>
      <c r="N34" s="120">
        <f t="shared" si="3"/>
        <v>4.2864768683274024</v>
      </c>
      <c r="O34" s="120">
        <f t="shared" si="4"/>
        <v>6.75</v>
      </c>
    </row>
    <row r="35" spans="1:15" x14ac:dyDescent="0.25">
      <c r="A35" s="573" t="s">
        <v>310</v>
      </c>
      <c r="B35" s="914" t="s">
        <v>53</v>
      </c>
      <c r="C35" s="394">
        <f>'h22'!B28</f>
        <v>163</v>
      </c>
      <c r="D35" s="394">
        <f>'h22'!C28</f>
        <v>836</v>
      </c>
      <c r="E35" s="394">
        <f>'h22'!D28</f>
        <v>6</v>
      </c>
      <c r="F35" s="394">
        <f>'h22'!E28</f>
        <v>94</v>
      </c>
      <c r="G35" s="395">
        <f t="shared" si="0"/>
        <v>169</v>
      </c>
      <c r="H35" s="395">
        <f t="shared" si="1"/>
        <v>930</v>
      </c>
      <c r="I35" s="119">
        <f>'h22'!F28</f>
        <v>0</v>
      </c>
      <c r="J35" s="119">
        <f>'h22'!G28</f>
        <v>0</v>
      </c>
      <c r="K35" s="119">
        <f>'h22'!H28</f>
        <v>0</v>
      </c>
      <c r="L35" s="119">
        <f>'h22'!I28</f>
        <v>0</v>
      </c>
      <c r="M35" s="934">
        <f t="shared" si="2"/>
        <v>0.96449704142011838</v>
      </c>
      <c r="N35" s="120">
        <f t="shared" si="3"/>
        <v>5.1288343558282206</v>
      </c>
      <c r="O35" s="120">
        <f t="shared" si="4"/>
        <v>15.666666666666666</v>
      </c>
    </row>
    <row r="36" spans="1:15" x14ac:dyDescent="0.25">
      <c r="A36" s="573" t="s">
        <v>301</v>
      </c>
      <c r="B36" s="914" t="s">
        <v>54</v>
      </c>
      <c r="C36" s="394">
        <f>'h22'!B29</f>
        <v>202</v>
      </c>
      <c r="D36" s="394">
        <f>'h22'!C29</f>
        <v>998.75</v>
      </c>
      <c r="E36" s="394">
        <f>'h22'!D29</f>
        <v>17</v>
      </c>
      <c r="F36" s="394">
        <f>'h22'!E29</f>
        <v>142.5</v>
      </c>
      <c r="G36" s="395">
        <f t="shared" si="0"/>
        <v>219</v>
      </c>
      <c r="H36" s="395">
        <f t="shared" si="1"/>
        <v>1141.25</v>
      </c>
      <c r="I36" s="119">
        <f>'h22'!F29</f>
        <v>0</v>
      </c>
      <c r="J36" s="119">
        <f>'h22'!G29</f>
        <v>0</v>
      </c>
      <c r="K36" s="119">
        <f>'h22'!H29</f>
        <v>0</v>
      </c>
      <c r="L36" s="119">
        <f>'h22'!I29</f>
        <v>0</v>
      </c>
      <c r="M36" s="934">
        <f t="shared" si="2"/>
        <v>0.92237442922374424</v>
      </c>
      <c r="N36" s="120">
        <f t="shared" si="3"/>
        <v>4.9443069306930694</v>
      </c>
      <c r="O36" s="120">
        <f t="shared" si="4"/>
        <v>8.382352941176471</v>
      </c>
    </row>
    <row r="37" spans="1:15" x14ac:dyDescent="0.25">
      <c r="A37" s="573" t="s">
        <v>302</v>
      </c>
      <c r="B37" s="914" t="s">
        <v>55</v>
      </c>
      <c r="C37" s="394">
        <f>'h22'!B30</f>
        <v>14</v>
      </c>
      <c r="D37" s="394">
        <f>'h22'!C30</f>
        <v>110.25</v>
      </c>
      <c r="E37" s="394">
        <f>'h22'!D30</f>
        <v>2</v>
      </c>
      <c r="F37" s="394">
        <f>'h22'!E30</f>
        <v>23.75</v>
      </c>
      <c r="G37" s="395">
        <f t="shared" si="0"/>
        <v>16</v>
      </c>
      <c r="H37" s="395">
        <f t="shared" si="1"/>
        <v>134</v>
      </c>
      <c r="I37" s="119">
        <f>'h22'!F30</f>
        <v>0</v>
      </c>
      <c r="J37" s="119">
        <f>'h22'!G30</f>
        <v>0</v>
      </c>
      <c r="K37" s="119">
        <f>'h22'!H30</f>
        <v>0</v>
      </c>
      <c r="L37" s="119">
        <f>'h22'!I30</f>
        <v>0</v>
      </c>
      <c r="M37" s="934">
        <f t="shared" si="2"/>
        <v>0.875</v>
      </c>
      <c r="N37" s="120">
        <f t="shared" si="3"/>
        <v>7.875</v>
      </c>
      <c r="O37" s="120">
        <f t="shared" si="4"/>
        <v>11.875</v>
      </c>
    </row>
    <row r="38" spans="1:15" x14ac:dyDescent="0.25">
      <c r="A38" s="573" t="s">
        <v>303</v>
      </c>
      <c r="B38" s="914" t="s">
        <v>56</v>
      </c>
      <c r="C38" s="394">
        <f>'h22'!B31</f>
        <v>216</v>
      </c>
      <c r="D38" s="394">
        <f>'h22'!C31</f>
        <v>1373.25</v>
      </c>
      <c r="E38" s="394">
        <f>'h22'!D31</f>
        <v>13</v>
      </c>
      <c r="F38" s="394">
        <f>'h22'!E31</f>
        <v>108</v>
      </c>
      <c r="G38" s="395">
        <f t="shared" si="0"/>
        <v>229</v>
      </c>
      <c r="H38" s="395">
        <f t="shared" si="1"/>
        <v>1481.25</v>
      </c>
      <c r="I38" s="119">
        <f>'h22'!F31</f>
        <v>3</v>
      </c>
      <c r="J38" s="119">
        <f>'h22'!G31</f>
        <v>44.25</v>
      </c>
      <c r="K38" s="119">
        <f>'h22'!H31</f>
        <v>1</v>
      </c>
      <c r="L38" s="119">
        <f>'h22'!I31</f>
        <v>0</v>
      </c>
      <c r="M38" s="934">
        <f t="shared" si="2"/>
        <v>0.94323144104803491</v>
      </c>
      <c r="N38" s="120">
        <f t="shared" si="3"/>
        <v>6.3576388888888893</v>
      </c>
      <c r="O38" s="120">
        <f t="shared" si="4"/>
        <v>8.3076923076923084</v>
      </c>
    </row>
    <row r="39" spans="1:15" x14ac:dyDescent="0.25">
      <c r="A39" s="573" t="s">
        <v>304</v>
      </c>
      <c r="B39" s="914" t="s">
        <v>57</v>
      </c>
      <c r="C39" s="394">
        <f>'h22'!B32</f>
        <v>242</v>
      </c>
      <c r="D39" s="394">
        <f>'h22'!C32</f>
        <v>1512.25</v>
      </c>
      <c r="E39" s="394">
        <f>'h22'!D32</f>
        <v>10</v>
      </c>
      <c r="F39" s="394">
        <f>'h22'!E32</f>
        <v>273</v>
      </c>
      <c r="G39" s="395">
        <f t="shared" si="0"/>
        <v>252</v>
      </c>
      <c r="H39" s="395">
        <f t="shared" si="1"/>
        <v>1785.25</v>
      </c>
      <c r="I39" s="119">
        <f>'h22'!F32</f>
        <v>1</v>
      </c>
      <c r="J39" s="119">
        <f>'h22'!G32</f>
        <v>102.75</v>
      </c>
      <c r="K39" s="119">
        <f>'h22'!H32</f>
        <v>0</v>
      </c>
      <c r="L39" s="119">
        <f>'h22'!I32</f>
        <v>0</v>
      </c>
      <c r="M39" s="934">
        <f t="shared" si="2"/>
        <v>0.96031746031746035</v>
      </c>
      <c r="N39" s="120">
        <f t="shared" si="3"/>
        <v>6.2489669421487601</v>
      </c>
      <c r="O39" s="120">
        <f t="shared" si="4"/>
        <v>27.3</v>
      </c>
    </row>
    <row r="40" spans="1:15" x14ac:dyDescent="0.25">
      <c r="A40" s="573" t="s">
        <v>305</v>
      </c>
      <c r="B40" s="914" t="s">
        <v>58</v>
      </c>
      <c r="C40" s="394">
        <f>'h22'!B33</f>
        <v>190</v>
      </c>
      <c r="D40" s="394">
        <f>'h22'!C33</f>
        <v>759</v>
      </c>
      <c r="E40" s="394">
        <f>'h22'!D33</f>
        <v>3</v>
      </c>
      <c r="F40" s="394">
        <f>'h22'!E33</f>
        <v>38.75</v>
      </c>
      <c r="G40" s="395">
        <f t="shared" si="0"/>
        <v>193</v>
      </c>
      <c r="H40" s="395">
        <f t="shared" si="1"/>
        <v>797.75</v>
      </c>
      <c r="I40" s="119">
        <f>'h22'!F33</f>
        <v>0</v>
      </c>
      <c r="J40" s="119">
        <f>'h22'!G33</f>
        <v>0</v>
      </c>
      <c r="K40" s="119">
        <f>'h22'!H33</f>
        <v>0</v>
      </c>
      <c r="L40" s="119">
        <f>'h22'!I33</f>
        <v>0</v>
      </c>
      <c r="M40" s="934">
        <f t="shared" si="2"/>
        <v>0.98445595854922274</v>
      </c>
      <c r="N40" s="120">
        <f t="shared" si="3"/>
        <v>3.9947368421052634</v>
      </c>
      <c r="O40" s="120">
        <f t="shared" si="4"/>
        <v>12.916666666666666</v>
      </c>
    </row>
    <row r="41" spans="1:15" x14ac:dyDescent="0.25">
      <c r="A41" s="573" t="s">
        <v>311</v>
      </c>
      <c r="B41" s="914" t="s">
        <v>59</v>
      </c>
      <c r="C41" s="394">
        <f>'h22'!B34</f>
        <v>74</v>
      </c>
      <c r="D41" s="394">
        <f>'h22'!C34</f>
        <v>427</v>
      </c>
      <c r="E41" s="394">
        <f>'h22'!D34</f>
        <v>5</v>
      </c>
      <c r="F41" s="394">
        <f>'h22'!E34</f>
        <v>44.75</v>
      </c>
      <c r="G41" s="395">
        <f t="shared" si="0"/>
        <v>79</v>
      </c>
      <c r="H41" s="395">
        <f t="shared" si="1"/>
        <v>471.75</v>
      </c>
      <c r="I41" s="119">
        <f>'h22'!F34</f>
        <v>0</v>
      </c>
      <c r="J41" s="119">
        <f>'h22'!G34</f>
        <v>0</v>
      </c>
      <c r="K41" s="119">
        <f>'h22'!H34</f>
        <v>0</v>
      </c>
      <c r="L41" s="119">
        <f>'h22'!I34</f>
        <v>0</v>
      </c>
      <c r="M41" s="934">
        <f t="shared" si="2"/>
        <v>0.93670886075949367</v>
      </c>
      <c r="N41" s="120">
        <f t="shared" si="3"/>
        <v>5.7702702702702702</v>
      </c>
      <c r="O41" s="120">
        <f t="shared" si="4"/>
        <v>8.9499999999999993</v>
      </c>
    </row>
    <row r="42" spans="1:15" x14ac:dyDescent="0.25">
      <c r="A42" s="573" t="s">
        <v>312</v>
      </c>
      <c r="B42" s="914" t="s">
        <v>60</v>
      </c>
      <c r="C42" s="394">
        <f>'h22'!B35</f>
        <v>208</v>
      </c>
      <c r="D42" s="394">
        <f>'h22'!C35</f>
        <v>775.5</v>
      </c>
      <c r="E42" s="394">
        <f>'h22'!D35</f>
        <v>5</v>
      </c>
      <c r="F42" s="394">
        <f>'h22'!E35</f>
        <v>33.5</v>
      </c>
      <c r="G42" s="395">
        <f t="shared" si="0"/>
        <v>213</v>
      </c>
      <c r="H42" s="395">
        <f t="shared" si="1"/>
        <v>809</v>
      </c>
      <c r="I42" s="119">
        <f>'h22'!F35</f>
        <v>0</v>
      </c>
      <c r="J42" s="119">
        <f>'h22'!G35</f>
        <v>0</v>
      </c>
      <c r="K42" s="119">
        <f>'h22'!H35</f>
        <v>0</v>
      </c>
      <c r="L42" s="119">
        <f>'h22'!I35</f>
        <v>0</v>
      </c>
      <c r="M42" s="934">
        <f t="shared" si="2"/>
        <v>0.97652582159624413</v>
      </c>
      <c r="N42" s="120">
        <f t="shared" si="3"/>
        <v>3.7283653846153846</v>
      </c>
      <c r="O42" s="120">
        <f t="shared" si="4"/>
        <v>6.7</v>
      </c>
    </row>
    <row r="43" spans="1:15" ht="24" customHeight="1" thickBot="1" x14ac:dyDescent="0.3">
      <c r="A43" s="361"/>
      <c r="B43" s="361" t="s">
        <v>840</v>
      </c>
      <c r="C43" s="396">
        <f>SUM(C11:C42)</f>
        <v>7508</v>
      </c>
      <c r="D43" s="396">
        <f>SUM(D11:D42)</f>
        <v>36452.25</v>
      </c>
      <c r="E43" s="396">
        <f t="shared" ref="E43:F43" si="5">SUM(E11:E42)</f>
        <v>364</v>
      </c>
      <c r="F43" s="396">
        <f t="shared" si="5"/>
        <v>3759.25</v>
      </c>
      <c r="G43" s="396">
        <f t="shared" ref="G43:L43" si="6">SUM(G11:G42)</f>
        <v>7872</v>
      </c>
      <c r="H43" s="396">
        <f t="shared" si="6"/>
        <v>40211.5</v>
      </c>
      <c r="I43" s="474">
        <f t="shared" si="6"/>
        <v>22</v>
      </c>
      <c r="J43" s="474">
        <f t="shared" si="6"/>
        <v>521.75</v>
      </c>
      <c r="K43" s="474">
        <f t="shared" si="6"/>
        <v>20</v>
      </c>
      <c r="L43" s="474">
        <f t="shared" si="6"/>
        <v>237.5</v>
      </c>
      <c r="M43" s="935">
        <f>C43/G43</f>
        <v>0.95376016260162599</v>
      </c>
      <c r="N43" s="362">
        <f>D43/C43</f>
        <v>4.8551212040490146</v>
      </c>
      <c r="O43" s="362">
        <f>F43/E43</f>
        <v>10.327609890109891</v>
      </c>
    </row>
    <row r="44" spans="1:15" x14ac:dyDescent="0.25">
      <c r="B44" s="363"/>
      <c r="C44" s="397"/>
      <c r="D44" s="397"/>
      <c r="E44" s="397"/>
      <c r="F44" s="397"/>
      <c r="G44" s="395"/>
      <c r="H44" s="395"/>
      <c r="I44" s="363"/>
      <c r="J44" s="125"/>
      <c r="K44" s="363"/>
      <c r="L44" s="363"/>
      <c r="M44" s="398"/>
      <c r="N44" s="364"/>
      <c r="O44" s="364"/>
    </row>
    <row r="45" spans="1:15" x14ac:dyDescent="0.25">
      <c r="A45" s="496" t="s">
        <v>8</v>
      </c>
      <c r="B45" s="499"/>
      <c r="C45" s="499"/>
      <c r="D45" s="499"/>
      <c r="E45" s="499"/>
      <c r="F45" s="499"/>
      <c r="G45" s="499"/>
      <c r="H45" s="499"/>
      <c r="I45" s="499"/>
      <c r="J45" s="499"/>
      <c r="K45" s="499"/>
      <c r="L45" s="499"/>
      <c r="M45" s="499"/>
      <c r="N45" s="499"/>
    </row>
    <row r="46" spans="1:15" ht="15" customHeight="1" x14ac:dyDescent="0.25">
      <c r="A46" s="683" t="s">
        <v>231</v>
      </c>
      <c r="B46" s="683"/>
      <c r="C46" s="683"/>
      <c r="D46" s="683"/>
      <c r="E46" s="683"/>
      <c r="F46" s="683"/>
      <c r="G46" s="683"/>
      <c r="H46" s="683"/>
      <c r="I46" s="683"/>
      <c r="J46" s="683"/>
      <c r="K46" s="683"/>
      <c r="L46" s="683"/>
      <c r="M46" s="683"/>
      <c r="N46" s="683"/>
    </row>
    <row r="47" spans="1:15" ht="30.75" customHeight="1" x14ac:dyDescent="0.25">
      <c r="A47" s="1041" t="s">
        <v>878</v>
      </c>
      <c r="B47" s="1041"/>
      <c r="C47" s="1041"/>
      <c r="D47" s="1041"/>
      <c r="E47" s="1041"/>
      <c r="F47" s="1041"/>
      <c r="G47" s="1041"/>
      <c r="H47" s="1041"/>
      <c r="I47" s="1041"/>
      <c r="J47" s="1041"/>
      <c r="K47" s="1041"/>
      <c r="L47" s="1041"/>
      <c r="M47" s="1041"/>
      <c r="N47" s="1041"/>
      <c r="O47" s="1041"/>
    </row>
    <row r="48" spans="1:15" x14ac:dyDescent="0.25">
      <c r="A48" s="499" t="s">
        <v>879</v>
      </c>
      <c r="B48" s="685"/>
      <c r="C48" s="685"/>
      <c r="D48" s="685"/>
      <c r="E48" s="685"/>
      <c r="F48" s="685"/>
      <c r="G48" s="685"/>
      <c r="H48" s="685"/>
      <c r="I48" s="685"/>
      <c r="J48" s="685"/>
      <c r="K48" s="685"/>
      <c r="L48" s="685"/>
      <c r="M48" s="685"/>
      <c r="N48" s="685"/>
    </row>
    <row r="49" spans="2:15" x14ac:dyDescent="0.25">
      <c r="B49" s="485"/>
      <c r="C49" s="485"/>
      <c r="D49" s="485"/>
      <c r="E49" s="485"/>
      <c r="F49" s="485"/>
      <c r="G49" s="485"/>
      <c r="H49" s="485"/>
      <c r="I49" s="485"/>
      <c r="J49" s="485"/>
      <c r="K49" s="485"/>
      <c r="L49" s="485"/>
      <c r="M49" s="485"/>
      <c r="N49" s="485"/>
      <c r="O49" s="485"/>
    </row>
  </sheetData>
  <sheetProtection algorithmName="SHA-512" hashValue="QA5sjni+6SBIxPquaeICfSRhaGhVe7yJR7dEyEL79Sxyl2zoty/CyS0EcfXbd4CKC5oQ7j/ap8vAZIwo10awSw==" saltValue="G9muD9TzOEBgGO76s6ok5w==" spinCount="100000" sheet="1" scenarios="1" pivotTables="0"/>
  <mergeCells count="6">
    <mergeCell ref="A47:O47"/>
    <mergeCell ref="C9:D9"/>
    <mergeCell ref="E9:F9"/>
    <mergeCell ref="G9:H9"/>
    <mergeCell ref="I9:J9"/>
    <mergeCell ref="K9:L9"/>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3" orientation="landscape" r:id="rId1"/>
  <drawing r:id="rId2"/>
  <extLst>
    <ext xmlns:x14="http://schemas.microsoft.com/office/spreadsheetml/2009/9/main" uri="{A8765BA9-456A-4dab-B4F3-ACF838C121DE}">
      <x14:slicerList>
        <x14:slicer r:id="rId3"/>
      </x14:slicerList>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3" tint="0.39997558519241921"/>
  </sheetPr>
  <dimension ref="A1:I36"/>
  <sheetViews>
    <sheetView workbookViewId="0">
      <selection activeCell="F16" sqref="F16"/>
    </sheetView>
  </sheetViews>
  <sheetFormatPr defaultRowHeight="15" x14ac:dyDescent="0.25"/>
  <cols>
    <col min="1" max="1" width="21.85546875" bestFit="1" customWidth="1"/>
    <col min="2" max="2" width="14.140625" bestFit="1" customWidth="1"/>
    <col min="3" max="3" width="15.140625" bestFit="1" customWidth="1"/>
    <col min="4" max="4" width="14" bestFit="1" customWidth="1"/>
    <col min="5" max="5" width="15" bestFit="1" customWidth="1"/>
    <col min="6" max="6" width="24.5703125" bestFit="1" customWidth="1"/>
    <col min="7" max="7" width="25.7109375" bestFit="1" customWidth="1"/>
    <col min="8" max="8" width="23.140625" bestFit="1" customWidth="1"/>
    <col min="9" max="9" width="24.140625" bestFit="1" customWidth="1"/>
  </cols>
  <sheetData>
    <row r="1" spans="1:9" x14ac:dyDescent="0.25">
      <c r="A1" s="569" t="s">
        <v>334</v>
      </c>
      <c r="B1" t="s">
        <v>258</v>
      </c>
    </row>
    <row r="3" spans="1:9" x14ac:dyDescent="0.25">
      <c r="A3" s="569" t="s">
        <v>250</v>
      </c>
      <c r="B3" t="s">
        <v>457</v>
      </c>
      <c r="C3" t="s">
        <v>458</v>
      </c>
      <c r="D3" t="s">
        <v>459</v>
      </c>
      <c r="E3" t="s">
        <v>460</v>
      </c>
      <c r="F3" t="s">
        <v>461</v>
      </c>
      <c r="G3" t="s">
        <v>463</v>
      </c>
      <c r="H3" t="s">
        <v>462</v>
      </c>
      <c r="I3" t="s">
        <v>464</v>
      </c>
    </row>
    <row r="4" spans="1:9" x14ac:dyDescent="0.25">
      <c r="A4" s="986" t="s">
        <v>31</v>
      </c>
      <c r="B4" s="571">
        <v>349</v>
      </c>
      <c r="C4" s="571">
        <v>2090</v>
      </c>
      <c r="D4" s="571">
        <v>15</v>
      </c>
      <c r="E4" s="571">
        <v>161</v>
      </c>
      <c r="F4" s="571"/>
      <c r="G4" s="571"/>
      <c r="H4" s="571">
        <v>2</v>
      </c>
      <c r="I4" s="571">
        <v>4.5</v>
      </c>
    </row>
    <row r="5" spans="1:9" x14ac:dyDescent="0.25">
      <c r="A5" s="986" t="s">
        <v>32</v>
      </c>
      <c r="B5" s="571">
        <v>344</v>
      </c>
      <c r="C5" s="571">
        <v>1895</v>
      </c>
      <c r="D5" s="571">
        <v>29</v>
      </c>
      <c r="E5" s="571">
        <v>240.5</v>
      </c>
      <c r="F5" s="571"/>
      <c r="G5" s="571"/>
      <c r="H5" s="571">
        <v>1</v>
      </c>
      <c r="I5" s="571">
        <v>7.5</v>
      </c>
    </row>
    <row r="6" spans="1:9" x14ac:dyDescent="0.25">
      <c r="A6" s="986" t="s">
        <v>33</v>
      </c>
      <c r="B6" s="571">
        <v>115</v>
      </c>
      <c r="C6" s="571">
        <v>476.75</v>
      </c>
      <c r="D6" s="571">
        <v>11</v>
      </c>
      <c r="E6" s="571">
        <v>49.5</v>
      </c>
      <c r="F6" s="571">
        <v>1</v>
      </c>
      <c r="G6" s="571">
        <v>6</v>
      </c>
      <c r="H6" s="571"/>
      <c r="I6" s="571"/>
    </row>
    <row r="7" spans="1:9" x14ac:dyDescent="0.25">
      <c r="A7" s="986" t="s">
        <v>34</v>
      </c>
      <c r="B7" s="571">
        <v>205</v>
      </c>
      <c r="C7" s="571">
        <v>1662</v>
      </c>
      <c r="D7" s="571">
        <v>15</v>
      </c>
      <c r="E7" s="571">
        <v>154.75</v>
      </c>
      <c r="F7" s="571"/>
      <c r="G7" s="571"/>
      <c r="H7" s="571"/>
      <c r="I7" s="571"/>
    </row>
    <row r="8" spans="1:9" x14ac:dyDescent="0.25">
      <c r="A8" s="986" t="s">
        <v>262</v>
      </c>
      <c r="B8" s="571">
        <v>672</v>
      </c>
      <c r="C8" s="571">
        <v>2918.5</v>
      </c>
      <c r="D8" s="571">
        <v>42</v>
      </c>
      <c r="E8" s="571">
        <v>362.75</v>
      </c>
      <c r="F8" s="571">
        <v>5</v>
      </c>
      <c r="G8" s="571">
        <v>63.5</v>
      </c>
      <c r="H8" s="571">
        <v>4</v>
      </c>
      <c r="I8" s="571">
        <v>16</v>
      </c>
    </row>
    <row r="9" spans="1:9" x14ac:dyDescent="0.25">
      <c r="A9" s="986" t="s">
        <v>35</v>
      </c>
      <c r="B9" s="571">
        <v>69</v>
      </c>
      <c r="C9" s="571">
        <v>332.5</v>
      </c>
      <c r="D9" s="571">
        <v>1</v>
      </c>
      <c r="E9" s="571">
        <v>8.5</v>
      </c>
      <c r="F9" s="571"/>
      <c r="G9" s="571"/>
      <c r="H9" s="571"/>
      <c r="I9" s="571"/>
    </row>
    <row r="10" spans="1:9" x14ac:dyDescent="0.25">
      <c r="A10" s="986" t="s">
        <v>36</v>
      </c>
      <c r="B10" s="571">
        <v>420</v>
      </c>
      <c r="C10" s="571">
        <v>2070.25</v>
      </c>
      <c r="D10" s="571">
        <v>20</v>
      </c>
      <c r="E10" s="571">
        <v>205.5</v>
      </c>
      <c r="F10" s="571">
        <v>2</v>
      </c>
      <c r="G10" s="571">
        <v>17</v>
      </c>
      <c r="H10" s="571"/>
      <c r="I10" s="571"/>
    </row>
    <row r="11" spans="1:9" x14ac:dyDescent="0.25">
      <c r="A11" s="986" t="s">
        <v>37</v>
      </c>
      <c r="B11" s="571">
        <v>371</v>
      </c>
      <c r="C11" s="571">
        <v>1559.5</v>
      </c>
      <c r="D11" s="571">
        <v>10</v>
      </c>
      <c r="E11" s="571">
        <v>90.75</v>
      </c>
      <c r="F11" s="571"/>
      <c r="G11" s="571"/>
      <c r="H11" s="571">
        <v>3</v>
      </c>
      <c r="I11" s="571">
        <v>23.5</v>
      </c>
    </row>
    <row r="12" spans="1:9" x14ac:dyDescent="0.25">
      <c r="A12" s="986" t="s">
        <v>38</v>
      </c>
      <c r="B12" s="571">
        <v>138</v>
      </c>
      <c r="C12" s="571">
        <v>837.25</v>
      </c>
      <c r="D12" s="571">
        <v>7</v>
      </c>
      <c r="E12" s="571">
        <v>59</v>
      </c>
      <c r="F12" s="571"/>
      <c r="G12" s="571"/>
      <c r="H12" s="571"/>
      <c r="I12" s="571"/>
    </row>
    <row r="13" spans="1:9" x14ac:dyDescent="0.25">
      <c r="A13" s="986" t="s">
        <v>39</v>
      </c>
      <c r="B13" s="571">
        <v>82</v>
      </c>
      <c r="C13" s="571">
        <v>447.75</v>
      </c>
      <c r="D13" s="571">
        <v>2</v>
      </c>
      <c r="E13" s="571">
        <v>30</v>
      </c>
      <c r="F13" s="571"/>
      <c r="G13" s="571"/>
      <c r="H13" s="571"/>
      <c r="I13" s="571"/>
    </row>
    <row r="14" spans="1:9" x14ac:dyDescent="0.25">
      <c r="A14" s="986" t="s">
        <v>40</v>
      </c>
      <c r="B14" s="571">
        <v>144</v>
      </c>
      <c r="C14" s="571">
        <v>567.25</v>
      </c>
      <c r="D14" s="571">
        <v>5</v>
      </c>
      <c r="E14" s="571">
        <v>34.5</v>
      </c>
      <c r="F14" s="571"/>
      <c r="G14" s="571"/>
      <c r="H14" s="571"/>
      <c r="I14" s="571"/>
    </row>
    <row r="15" spans="1:9" x14ac:dyDescent="0.25">
      <c r="A15" s="986" t="s">
        <v>41</v>
      </c>
      <c r="B15" s="571">
        <v>34</v>
      </c>
      <c r="C15" s="571">
        <v>234</v>
      </c>
      <c r="D15" s="571">
        <v>2</v>
      </c>
      <c r="E15" s="571">
        <v>18.75</v>
      </c>
      <c r="F15" s="571"/>
      <c r="G15" s="571"/>
      <c r="H15" s="571"/>
      <c r="I15" s="571"/>
    </row>
    <row r="16" spans="1:9" x14ac:dyDescent="0.25">
      <c r="A16" s="986" t="s">
        <v>42</v>
      </c>
      <c r="B16" s="571">
        <v>201</v>
      </c>
      <c r="C16" s="571">
        <v>1063.25</v>
      </c>
      <c r="D16" s="571"/>
      <c r="E16" s="571"/>
      <c r="F16" s="571"/>
      <c r="G16" s="571"/>
      <c r="H16" s="571"/>
      <c r="I16" s="571"/>
    </row>
    <row r="17" spans="1:9" x14ac:dyDescent="0.25">
      <c r="A17" s="986" t="s">
        <v>43</v>
      </c>
      <c r="B17" s="571">
        <v>644</v>
      </c>
      <c r="C17" s="571">
        <v>2085.75</v>
      </c>
      <c r="D17" s="571">
        <v>13</v>
      </c>
      <c r="E17" s="571">
        <v>127</v>
      </c>
      <c r="F17" s="571">
        <v>2</v>
      </c>
      <c r="G17" s="571">
        <v>52</v>
      </c>
      <c r="H17" s="571"/>
      <c r="I17" s="571"/>
    </row>
    <row r="18" spans="1:9" x14ac:dyDescent="0.25">
      <c r="A18" s="986" t="s">
        <v>124</v>
      </c>
      <c r="B18" s="571">
        <v>1067</v>
      </c>
      <c r="C18" s="571">
        <v>4671</v>
      </c>
      <c r="D18" s="571">
        <v>59</v>
      </c>
      <c r="E18" s="571">
        <v>525.75</v>
      </c>
      <c r="F18" s="571">
        <v>3</v>
      </c>
      <c r="G18" s="571">
        <v>49.25</v>
      </c>
      <c r="H18" s="571"/>
      <c r="I18" s="571"/>
    </row>
    <row r="19" spans="1:9" x14ac:dyDescent="0.25">
      <c r="A19" s="986" t="s">
        <v>44</v>
      </c>
      <c r="B19" s="571">
        <v>172</v>
      </c>
      <c r="C19" s="571">
        <v>1061.75</v>
      </c>
      <c r="D19" s="571">
        <v>24</v>
      </c>
      <c r="E19" s="571">
        <v>392.5</v>
      </c>
      <c r="F19" s="571">
        <v>1</v>
      </c>
      <c r="G19" s="571">
        <v>70.75</v>
      </c>
      <c r="H19" s="571">
        <v>7</v>
      </c>
      <c r="I19" s="571">
        <v>123</v>
      </c>
    </row>
    <row r="20" spans="1:9" x14ac:dyDescent="0.25">
      <c r="A20" s="986" t="s">
        <v>45</v>
      </c>
      <c r="B20" s="571">
        <v>73</v>
      </c>
      <c r="C20" s="571">
        <v>338.75</v>
      </c>
      <c r="D20" s="571">
        <v>5</v>
      </c>
      <c r="E20" s="571">
        <v>63</v>
      </c>
      <c r="F20" s="571">
        <v>1</v>
      </c>
      <c r="G20" s="571">
        <v>33.25</v>
      </c>
      <c r="H20" s="571"/>
      <c r="I20" s="571"/>
    </row>
    <row r="21" spans="1:9" x14ac:dyDescent="0.25">
      <c r="A21" s="986" t="s">
        <v>46</v>
      </c>
      <c r="B21" s="571">
        <v>131</v>
      </c>
      <c r="C21" s="571">
        <v>878.5</v>
      </c>
      <c r="D21" s="571">
        <v>7</v>
      </c>
      <c r="E21" s="571">
        <v>91.25</v>
      </c>
      <c r="F21" s="571"/>
      <c r="G21" s="571"/>
      <c r="H21" s="571"/>
      <c r="I21" s="571"/>
    </row>
    <row r="22" spans="1:9" x14ac:dyDescent="0.25">
      <c r="A22" s="986" t="s">
        <v>47</v>
      </c>
      <c r="B22" s="571">
        <v>124</v>
      </c>
      <c r="C22" s="571">
        <v>579.75</v>
      </c>
      <c r="D22" s="571">
        <v>6</v>
      </c>
      <c r="E22" s="571">
        <v>75.25</v>
      </c>
      <c r="F22" s="571"/>
      <c r="G22" s="571"/>
      <c r="H22" s="571">
        <v>1</v>
      </c>
      <c r="I22" s="571"/>
    </row>
    <row r="23" spans="1:9" x14ac:dyDescent="0.25">
      <c r="A23" s="986" t="s">
        <v>48</v>
      </c>
      <c r="B23" s="571">
        <v>21</v>
      </c>
      <c r="C23" s="571">
        <v>73.5</v>
      </c>
      <c r="D23" s="571"/>
      <c r="E23" s="571"/>
      <c r="F23" s="571"/>
      <c r="G23" s="571"/>
      <c r="H23" s="571"/>
      <c r="I23" s="571"/>
    </row>
    <row r="24" spans="1:9" x14ac:dyDescent="0.25">
      <c r="A24" s="986" t="s">
        <v>49</v>
      </c>
      <c r="B24" s="571">
        <v>239</v>
      </c>
      <c r="C24" s="571">
        <v>1222.25</v>
      </c>
      <c r="D24" s="571">
        <v>5</v>
      </c>
      <c r="E24" s="571">
        <v>47</v>
      </c>
      <c r="F24" s="571"/>
      <c r="G24" s="571"/>
      <c r="H24" s="571"/>
      <c r="I24" s="571"/>
    </row>
    <row r="25" spans="1:9" x14ac:dyDescent="0.25">
      <c r="A25" s="986" t="s">
        <v>50</v>
      </c>
      <c r="B25" s="571">
        <v>294</v>
      </c>
      <c r="C25" s="571">
        <v>1348</v>
      </c>
      <c r="D25" s="571">
        <v>13</v>
      </c>
      <c r="E25" s="571">
        <v>182.75</v>
      </c>
      <c r="F25" s="571">
        <v>2</v>
      </c>
      <c r="G25" s="571">
        <v>68.75</v>
      </c>
      <c r="H25" s="571">
        <v>1</v>
      </c>
      <c r="I25" s="571">
        <v>63</v>
      </c>
    </row>
    <row r="26" spans="1:9" x14ac:dyDescent="0.25">
      <c r="A26" s="986" t="s">
        <v>51</v>
      </c>
      <c r="B26" s="571">
        <v>9</v>
      </c>
      <c r="C26" s="571">
        <v>42.5</v>
      </c>
      <c r="D26" s="571"/>
      <c r="E26" s="571"/>
      <c r="F26" s="571"/>
      <c r="G26" s="571"/>
      <c r="H26" s="571"/>
      <c r="I26" s="571"/>
    </row>
    <row r="27" spans="1:9" x14ac:dyDescent="0.25">
      <c r="A27" s="986" t="s">
        <v>52</v>
      </c>
      <c r="B27" s="571">
        <v>281</v>
      </c>
      <c r="C27" s="571">
        <v>1204.5</v>
      </c>
      <c r="D27" s="571">
        <v>12</v>
      </c>
      <c r="E27" s="571">
        <v>81</v>
      </c>
      <c r="F27" s="571">
        <v>1</v>
      </c>
      <c r="G27" s="571">
        <v>14.25</v>
      </c>
      <c r="H27" s="571"/>
      <c r="I27" s="571"/>
    </row>
    <row r="28" spans="1:9" x14ac:dyDescent="0.25">
      <c r="A28" s="986" t="s">
        <v>53</v>
      </c>
      <c r="B28" s="571">
        <v>163</v>
      </c>
      <c r="C28" s="571">
        <v>836</v>
      </c>
      <c r="D28" s="571">
        <v>6</v>
      </c>
      <c r="E28" s="571">
        <v>94</v>
      </c>
      <c r="F28" s="571"/>
      <c r="G28" s="571"/>
      <c r="H28" s="571"/>
      <c r="I28" s="571"/>
    </row>
    <row r="29" spans="1:9" x14ac:dyDescent="0.25">
      <c r="A29" s="986" t="s">
        <v>54</v>
      </c>
      <c r="B29" s="571">
        <v>202</v>
      </c>
      <c r="C29" s="571">
        <v>998.75</v>
      </c>
      <c r="D29" s="571">
        <v>17</v>
      </c>
      <c r="E29" s="571">
        <v>142.5</v>
      </c>
      <c r="F29" s="571"/>
      <c r="G29" s="571"/>
      <c r="H29" s="571"/>
      <c r="I29" s="571"/>
    </row>
    <row r="30" spans="1:9" x14ac:dyDescent="0.25">
      <c r="A30" s="986" t="s">
        <v>55</v>
      </c>
      <c r="B30" s="571">
        <v>14</v>
      </c>
      <c r="C30" s="571">
        <v>110.25</v>
      </c>
      <c r="D30" s="571">
        <v>2</v>
      </c>
      <c r="E30" s="571">
        <v>23.75</v>
      </c>
      <c r="F30" s="571"/>
      <c r="G30" s="571"/>
      <c r="H30" s="571"/>
      <c r="I30" s="571"/>
    </row>
    <row r="31" spans="1:9" x14ac:dyDescent="0.25">
      <c r="A31" s="986" t="s">
        <v>56</v>
      </c>
      <c r="B31" s="571">
        <v>216</v>
      </c>
      <c r="C31" s="571">
        <v>1373.25</v>
      </c>
      <c r="D31" s="571">
        <v>13</v>
      </c>
      <c r="E31" s="571">
        <v>108</v>
      </c>
      <c r="F31" s="571">
        <v>3</v>
      </c>
      <c r="G31" s="571">
        <v>44.25</v>
      </c>
      <c r="H31" s="571">
        <v>1</v>
      </c>
      <c r="I31" s="571"/>
    </row>
    <row r="32" spans="1:9" x14ac:dyDescent="0.25">
      <c r="A32" s="986" t="s">
        <v>57</v>
      </c>
      <c r="B32" s="571">
        <v>242</v>
      </c>
      <c r="C32" s="571">
        <v>1512.25</v>
      </c>
      <c r="D32" s="571">
        <v>10</v>
      </c>
      <c r="E32" s="571">
        <v>273</v>
      </c>
      <c r="F32" s="571">
        <v>1</v>
      </c>
      <c r="G32" s="571">
        <v>102.75</v>
      </c>
      <c r="H32" s="571"/>
      <c r="I32" s="571"/>
    </row>
    <row r="33" spans="1:9" x14ac:dyDescent="0.25">
      <c r="A33" s="986" t="s">
        <v>58</v>
      </c>
      <c r="B33" s="571">
        <v>190</v>
      </c>
      <c r="C33" s="571">
        <v>759</v>
      </c>
      <c r="D33" s="571">
        <v>3</v>
      </c>
      <c r="E33" s="571">
        <v>38.75</v>
      </c>
      <c r="F33" s="571"/>
      <c r="G33" s="571"/>
      <c r="H33" s="571"/>
      <c r="I33" s="571"/>
    </row>
    <row r="34" spans="1:9" x14ac:dyDescent="0.25">
      <c r="A34" s="986" t="s">
        <v>59</v>
      </c>
      <c r="B34" s="571">
        <v>74</v>
      </c>
      <c r="C34" s="571">
        <v>427</v>
      </c>
      <c r="D34" s="571">
        <v>5</v>
      </c>
      <c r="E34" s="571">
        <v>44.75</v>
      </c>
      <c r="F34" s="571"/>
      <c r="G34" s="571"/>
      <c r="H34" s="571"/>
      <c r="I34" s="571"/>
    </row>
    <row r="35" spans="1:9" x14ac:dyDescent="0.25">
      <c r="A35" s="986" t="s">
        <v>60</v>
      </c>
      <c r="B35" s="571">
        <v>208</v>
      </c>
      <c r="C35" s="571">
        <v>775.5</v>
      </c>
      <c r="D35" s="571">
        <v>5</v>
      </c>
      <c r="E35" s="571">
        <v>33.5</v>
      </c>
      <c r="F35" s="571"/>
      <c r="G35" s="571"/>
      <c r="H35" s="571"/>
      <c r="I35" s="571"/>
    </row>
    <row r="36" spans="1:9" x14ac:dyDescent="0.25">
      <c r="A36" s="986" t="s">
        <v>255</v>
      </c>
      <c r="B36" s="571">
        <v>7508</v>
      </c>
      <c r="C36" s="571">
        <v>36452.25</v>
      </c>
      <c r="D36" s="571">
        <v>364</v>
      </c>
      <c r="E36" s="571">
        <v>3759.25</v>
      </c>
      <c r="F36" s="571">
        <v>22</v>
      </c>
      <c r="G36" s="571">
        <v>521.75</v>
      </c>
      <c r="H36" s="571">
        <v>20</v>
      </c>
      <c r="I36" s="571">
        <v>237.5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3" tint="0.39997558519241921"/>
    <pageSetUpPr fitToPage="1"/>
  </sheetPr>
  <dimension ref="A1:O44"/>
  <sheetViews>
    <sheetView showGridLines="0" workbookViewId="0">
      <pane ySplit="2" topLeftCell="A3" activePane="bottomLeft" state="frozen"/>
      <selection sqref="A1:C1"/>
      <selection pane="bottomLeft" sqref="A1:C1"/>
    </sheetView>
  </sheetViews>
  <sheetFormatPr defaultRowHeight="15" x14ac:dyDescent="0.25"/>
  <cols>
    <col min="1" max="1" width="18.28515625" customWidth="1"/>
    <col min="2" max="2" width="20.85546875" customWidth="1"/>
    <col min="3" max="3" width="18.85546875" customWidth="1"/>
    <col min="4" max="4" width="18.140625" customWidth="1"/>
    <col min="5" max="5" width="9.7109375" customWidth="1"/>
    <col min="6" max="6" width="6.140625" bestFit="1" customWidth="1"/>
    <col min="7" max="8" width="5.5703125" bestFit="1" customWidth="1"/>
  </cols>
  <sheetData>
    <row r="1" spans="1:15" ht="15.75" x14ac:dyDescent="0.25">
      <c r="A1" s="822" t="s">
        <v>655</v>
      </c>
    </row>
    <row r="2" spans="1:15" x14ac:dyDescent="0.25">
      <c r="A2" s="790" t="s">
        <v>598</v>
      </c>
    </row>
    <row r="3" spans="1:15" x14ac:dyDescent="0.25">
      <c r="A3" s="31"/>
    </row>
    <row r="4" spans="1:15" ht="15.75" x14ac:dyDescent="0.25">
      <c r="A4" s="665" t="s">
        <v>668</v>
      </c>
      <c r="B4" s="665"/>
      <c r="C4" s="665"/>
      <c r="D4" s="665"/>
      <c r="E4" s="665"/>
      <c r="F4" s="665"/>
      <c r="G4" s="665"/>
      <c r="H4" s="665"/>
      <c r="I4" s="665"/>
      <c r="J4" s="665"/>
      <c r="K4" s="665"/>
      <c r="L4" s="665"/>
      <c r="M4" s="665"/>
      <c r="N4" s="665"/>
    </row>
    <row r="5" spans="1:15" ht="15.75" x14ac:dyDescent="0.25">
      <c r="A5" t="s">
        <v>368</v>
      </c>
      <c r="B5" t="s">
        <v>821</v>
      </c>
      <c r="C5" s="802"/>
      <c r="D5" s="802"/>
      <c r="E5" s="802"/>
      <c r="F5" s="802"/>
      <c r="G5" s="802"/>
      <c r="H5" s="802"/>
      <c r="I5" s="802"/>
      <c r="J5" s="802"/>
    </row>
    <row r="6" spans="1:15" ht="15.75" x14ac:dyDescent="0.25">
      <c r="A6" t="s">
        <v>369</v>
      </c>
      <c r="B6" t="s">
        <v>371</v>
      </c>
      <c r="C6" s="802"/>
      <c r="D6" s="802"/>
      <c r="E6" s="802"/>
      <c r="F6" s="802"/>
      <c r="G6" s="802"/>
      <c r="H6" s="802"/>
      <c r="I6" s="802"/>
      <c r="J6" s="802"/>
    </row>
    <row r="7" spans="1:15" ht="15.75" x14ac:dyDescent="0.25">
      <c r="A7" t="s">
        <v>370</v>
      </c>
      <c r="B7" t="s">
        <v>372</v>
      </c>
      <c r="C7" s="802"/>
      <c r="D7" s="802"/>
      <c r="E7" s="802"/>
      <c r="F7" s="802"/>
      <c r="G7" s="802"/>
      <c r="H7" s="802"/>
      <c r="I7" s="802"/>
      <c r="J7" s="802"/>
      <c r="K7" s="31"/>
      <c r="L7" s="31"/>
      <c r="M7" s="31"/>
      <c r="N7" s="31"/>
    </row>
    <row r="8" spans="1:15" x14ac:dyDescent="0.25">
      <c r="A8" s="16"/>
      <c r="B8" s="16"/>
      <c r="C8" s="16"/>
      <c r="D8" s="16"/>
      <c r="E8" s="16"/>
      <c r="F8" s="16"/>
      <c r="G8" s="16"/>
      <c r="H8" s="16"/>
      <c r="I8" s="367"/>
      <c r="J8" s="367"/>
    </row>
    <row r="9" spans="1:15" x14ac:dyDescent="0.25">
      <c r="A9" s="538" t="s">
        <v>1</v>
      </c>
      <c r="B9" s="270" t="s">
        <v>166</v>
      </c>
      <c r="C9" s="270" t="s">
        <v>167</v>
      </c>
      <c r="D9" s="269" t="s">
        <v>196</v>
      </c>
      <c r="E9" s="270" t="s">
        <v>26</v>
      </c>
      <c r="F9" s="28"/>
    </row>
    <row r="10" spans="1:15" x14ac:dyDescent="0.25">
      <c r="A10" s="5" t="str">
        <f>'T21'!$A36</f>
        <v>2014-15</v>
      </c>
      <c r="B10" s="28">
        <f>'T21'!$D36</f>
        <v>21</v>
      </c>
      <c r="C10" s="28">
        <f>'T21'!$E36</f>
        <v>15</v>
      </c>
      <c r="D10" s="28">
        <f>'T21'!$C36</f>
        <v>0</v>
      </c>
      <c r="E10" s="13">
        <f>'T21'!$B36</f>
        <v>21</v>
      </c>
      <c r="F10" s="28"/>
      <c r="O10" s="625"/>
    </row>
    <row r="11" spans="1:15" x14ac:dyDescent="0.25">
      <c r="A11" s="5" t="str">
        <f>'T21'!$A37</f>
        <v>2015-16</v>
      </c>
      <c r="B11" s="28">
        <f>'T21'!$D37</f>
        <v>22</v>
      </c>
      <c r="C11" s="28">
        <f>'T21'!$E37</f>
        <v>17</v>
      </c>
      <c r="D11" s="28">
        <f>'T21'!$C37</f>
        <v>0</v>
      </c>
      <c r="E11" s="13">
        <f>'T21'!$B37</f>
        <v>22</v>
      </c>
      <c r="F11" s="28"/>
      <c r="O11" s="625"/>
    </row>
    <row r="12" spans="1:15" x14ac:dyDescent="0.25">
      <c r="A12" s="5" t="str">
        <f>'T21'!$A38</f>
        <v>2016-17</v>
      </c>
      <c r="B12" s="28">
        <f>'T21'!$D38</f>
        <v>15</v>
      </c>
      <c r="C12" s="28">
        <f>'T21'!$E38</f>
        <v>17</v>
      </c>
      <c r="D12" s="28">
        <f>'T21'!$C38</f>
        <v>1</v>
      </c>
      <c r="E12" s="13">
        <f>'T21'!$B38</f>
        <v>17</v>
      </c>
      <c r="F12" s="28"/>
      <c r="O12" s="625"/>
    </row>
    <row r="13" spans="1:15" x14ac:dyDescent="0.25">
      <c r="A13" s="5" t="str">
        <f>'T21'!$A39</f>
        <v>2017-18</v>
      </c>
      <c r="B13" s="28">
        <f>'T21'!$D39</f>
        <v>15</v>
      </c>
      <c r="C13" s="28">
        <f>'T21'!$E39</f>
        <v>25</v>
      </c>
      <c r="D13" s="28">
        <f>'T21'!$C39</f>
        <v>2</v>
      </c>
      <c r="E13" s="13">
        <f>'T21'!$B39</f>
        <v>25</v>
      </c>
      <c r="F13" s="28"/>
      <c r="O13" s="625"/>
    </row>
    <row r="14" spans="1:15" ht="15.75" thickBot="1" x14ac:dyDescent="0.3">
      <c r="A14" s="541" t="str">
        <f>'T21'!$A40</f>
        <v>2018-19</v>
      </c>
      <c r="B14" s="542">
        <f>'T21'!$D40</f>
        <v>16</v>
      </c>
      <c r="C14" s="542">
        <f>'T21'!$E40</f>
        <v>19</v>
      </c>
      <c r="D14" s="542">
        <f>'T21'!$C40</f>
        <v>2</v>
      </c>
      <c r="E14" s="44">
        <f>'T21'!$B40</f>
        <v>19</v>
      </c>
      <c r="I14" s="367"/>
      <c r="J14" s="367"/>
      <c r="O14" s="625"/>
    </row>
    <row r="15" spans="1:15" x14ac:dyDescent="0.25">
      <c r="A15" s="539"/>
      <c r="B15" s="540"/>
      <c r="C15" s="540"/>
      <c r="D15" s="540"/>
      <c r="E15" s="540"/>
      <c r="I15" s="367"/>
      <c r="J15" s="367"/>
      <c r="O15" s="625"/>
    </row>
    <row r="16" spans="1:15" x14ac:dyDescent="0.25">
      <c r="A16" s="502" t="s">
        <v>8</v>
      </c>
      <c r="B16" s="31"/>
      <c r="C16" s="31"/>
      <c r="D16" s="31"/>
      <c r="O16" s="625"/>
    </row>
    <row r="17" spans="1:15" ht="30" customHeight="1" x14ac:dyDescent="0.25">
      <c r="A17" s="1022" t="s">
        <v>670</v>
      </c>
      <c r="B17" s="1022"/>
      <c r="C17" s="1022"/>
      <c r="D17" s="1022"/>
      <c r="E17" s="1022"/>
      <c r="O17" s="625"/>
    </row>
    <row r="18" spans="1:15" ht="45" customHeight="1" x14ac:dyDescent="0.25">
      <c r="A18" s="1015" t="s">
        <v>669</v>
      </c>
      <c r="B18" s="1015"/>
      <c r="C18" s="1015"/>
      <c r="D18" s="1015"/>
      <c r="E18" s="1015"/>
      <c r="O18" s="625"/>
    </row>
    <row r="19" spans="1:15" ht="45" customHeight="1" x14ac:dyDescent="0.25">
      <c r="A19" s="1022" t="s">
        <v>245</v>
      </c>
      <c r="B19" s="1022"/>
      <c r="C19" s="1022"/>
      <c r="D19" s="1022"/>
      <c r="E19" s="1022"/>
      <c r="O19" s="625"/>
    </row>
    <row r="20" spans="1:15" x14ac:dyDescent="0.25">
      <c r="A20" s="501" t="s">
        <v>671</v>
      </c>
      <c r="B20" s="31"/>
      <c r="C20" s="31"/>
      <c r="D20" s="31"/>
      <c r="E20" s="31"/>
      <c r="O20" s="625"/>
    </row>
    <row r="21" spans="1:15" ht="15.75" x14ac:dyDescent="0.25">
      <c r="A21" s="524"/>
      <c r="C21" s="302"/>
      <c r="D21" s="468"/>
      <c r="E21" s="468"/>
      <c r="O21" s="625"/>
    </row>
    <row r="22" spans="1:15" x14ac:dyDescent="0.25">
      <c r="O22" s="625"/>
    </row>
    <row r="23" spans="1:15" x14ac:dyDescent="0.25">
      <c r="O23" s="625"/>
    </row>
    <row r="24" spans="1:15" x14ac:dyDescent="0.25">
      <c r="O24" s="625"/>
    </row>
    <row r="25" spans="1:15" x14ac:dyDescent="0.25">
      <c r="O25" s="625"/>
    </row>
    <row r="26" spans="1:15" x14ac:dyDescent="0.25">
      <c r="O26" s="626"/>
    </row>
    <row r="27" spans="1:15" x14ac:dyDescent="0.25">
      <c r="O27" s="625"/>
    </row>
    <row r="28" spans="1:15" x14ac:dyDescent="0.25">
      <c r="O28" s="625"/>
    </row>
    <row r="29" spans="1:15" x14ac:dyDescent="0.25">
      <c r="O29" s="625"/>
    </row>
    <row r="30" spans="1:15" x14ac:dyDescent="0.25">
      <c r="O30" s="625"/>
    </row>
    <row r="31" spans="1:15" x14ac:dyDescent="0.25">
      <c r="O31" s="625"/>
    </row>
    <row r="32" spans="1:15" x14ac:dyDescent="0.25">
      <c r="O32" s="625"/>
    </row>
    <row r="33" spans="15:15" x14ac:dyDescent="0.25">
      <c r="O33" s="625"/>
    </row>
    <row r="34" spans="15:15" x14ac:dyDescent="0.25">
      <c r="O34" s="625"/>
    </row>
    <row r="35" spans="15:15" x14ac:dyDescent="0.25">
      <c r="O35" s="625"/>
    </row>
    <row r="36" spans="15:15" x14ac:dyDescent="0.25">
      <c r="O36" s="625"/>
    </row>
    <row r="37" spans="15:15" x14ac:dyDescent="0.25">
      <c r="O37" s="626"/>
    </row>
    <row r="38" spans="15:15" x14ac:dyDescent="0.25">
      <c r="O38" s="625"/>
    </row>
    <row r="39" spans="15:15" x14ac:dyDescent="0.25">
      <c r="O39" s="625"/>
    </row>
    <row r="40" spans="15:15" x14ac:dyDescent="0.25">
      <c r="O40" s="625"/>
    </row>
    <row r="41" spans="15:15" x14ac:dyDescent="0.25">
      <c r="O41" s="625"/>
    </row>
    <row r="42" spans="15:15" x14ac:dyDescent="0.25">
      <c r="O42" s="625"/>
    </row>
    <row r="43" spans="15:15" x14ac:dyDescent="0.25">
      <c r="O43" s="625"/>
    </row>
    <row r="44" spans="15:15" x14ac:dyDescent="0.25">
      <c r="O44" s="625"/>
    </row>
  </sheetData>
  <sheetProtection algorithmName="SHA-512" hashValue="P3/4GnEFoGy8zZnVHzBoO0zjy54UTitD2Sqb9MCdTV0iN9XeepxZSxRtCRD2aF+hZI/g0UBClKGL+X1tSjdsEQ==" saltValue="Av9J/WufOFuCm/M+Ca1hpQ==" spinCount="100000" sheet="1" objects="1" scenarios="1"/>
  <mergeCells count="3">
    <mergeCell ref="A19:E19"/>
    <mergeCell ref="A18:E18"/>
    <mergeCell ref="A17:E17"/>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1"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3" tint="0.39997558519241921"/>
  </sheetPr>
  <dimension ref="A1:K56"/>
  <sheetViews>
    <sheetView showGridLines="0" workbookViewId="0">
      <pane ySplit="2" topLeftCell="A3" activePane="bottomLeft" state="frozen"/>
      <selection sqref="A1:C1"/>
      <selection pane="bottomLeft" sqref="A1:C1"/>
    </sheetView>
  </sheetViews>
  <sheetFormatPr defaultRowHeight="15" x14ac:dyDescent="0.25"/>
  <cols>
    <col min="1" max="1" width="30.7109375" bestFit="1" customWidth="1"/>
    <col min="2" max="6" width="13.140625" customWidth="1"/>
  </cols>
  <sheetData>
    <row r="1" spans="1:11" ht="15.75" x14ac:dyDescent="0.25">
      <c r="A1" s="822" t="s">
        <v>655</v>
      </c>
    </row>
    <row r="2" spans="1:11" x14ac:dyDescent="0.25">
      <c r="A2" s="790" t="s">
        <v>598</v>
      </c>
    </row>
    <row r="3" spans="1:11" x14ac:dyDescent="0.25">
      <c r="A3" s="31"/>
    </row>
    <row r="4" spans="1:11" ht="15.75" x14ac:dyDescent="0.25">
      <c r="A4" s="665" t="s">
        <v>673</v>
      </c>
      <c r="B4" s="665"/>
    </row>
    <row r="5" spans="1:11" x14ac:dyDescent="0.25">
      <c r="A5" t="s">
        <v>368</v>
      </c>
      <c r="B5" t="s">
        <v>822</v>
      </c>
    </row>
    <row r="6" spans="1:11" x14ac:dyDescent="0.25">
      <c r="A6" t="s">
        <v>369</v>
      </c>
      <c r="B6" t="s">
        <v>371</v>
      </c>
    </row>
    <row r="7" spans="1:11" x14ac:dyDescent="0.25">
      <c r="A7" t="s">
        <v>370</v>
      </c>
      <c r="B7" t="s">
        <v>372</v>
      </c>
    </row>
    <row r="9" spans="1:11" x14ac:dyDescent="0.25">
      <c r="A9" s="596" t="s">
        <v>490</v>
      </c>
      <c r="B9" s="597" t="s">
        <v>674</v>
      </c>
      <c r="C9" s="597" t="s">
        <v>675</v>
      </c>
      <c r="D9" s="597" t="s">
        <v>676</v>
      </c>
      <c r="E9" s="597" t="s">
        <v>677</v>
      </c>
      <c r="F9" s="597" t="s">
        <v>678</v>
      </c>
      <c r="G9" s="598" t="s">
        <v>26</v>
      </c>
    </row>
    <row r="10" spans="1:11" x14ac:dyDescent="0.25">
      <c r="A10" s="599" t="s">
        <v>146</v>
      </c>
      <c r="B10" s="600">
        <f>'h23'!B4</f>
        <v>7</v>
      </c>
      <c r="C10" s="600">
        <f>'h23'!C4</f>
        <v>36</v>
      </c>
      <c r="D10" s="600">
        <f>'h23'!D4</f>
        <v>353</v>
      </c>
      <c r="E10" s="600">
        <f>'h23'!E4</f>
        <v>70</v>
      </c>
      <c r="F10" s="600">
        <f>'h23'!F4</f>
        <v>5</v>
      </c>
      <c r="G10" s="601">
        <f t="shared" ref="G10:G24" si="0">SUM(B10:F10)</f>
        <v>471</v>
      </c>
      <c r="H10" s="587"/>
      <c r="I10" s="587"/>
      <c r="J10" s="587"/>
      <c r="K10" s="587"/>
    </row>
    <row r="11" spans="1:11" x14ac:dyDescent="0.25">
      <c r="A11" s="599" t="s">
        <v>147</v>
      </c>
      <c r="B11" s="600">
        <f>'h23'!B5</f>
        <v>92</v>
      </c>
      <c r="C11" s="600">
        <f>'h23'!C5</f>
        <v>668</v>
      </c>
      <c r="D11" s="600">
        <f>'h23'!D5</f>
        <v>807</v>
      </c>
      <c r="E11" s="600">
        <f>'h23'!E5</f>
        <v>201</v>
      </c>
      <c r="F11" s="600">
        <f>'h23'!F5</f>
        <v>7</v>
      </c>
      <c r="G11" s="601">
        <f t="shared" si="0"/>
        <v>1775</v>
      </c>
      <c r="H11" s="587"/>
      <c r="I11" s="587"/>
      <c r="J11" s="587"/>
      <c r="K11" s="587"/>
    </row>
    <row r="12" spans="1:11" x14ac:dyDescent="0.25">
      <c r="A12" s="599" t="s">
        <v>163</v>
      </c>
      <c r="B12" s="600">
        <f>'h23'!B6</f>
        <v>81</v>
      </c>
      <c r="C12" s="600">
        <f>'h23'!C6</f>
        <v>263</v>
      </c>
      <c r="D12" s="600">
        <f>'h23'!D6</f>
        <v>1407</v>
      </c>
      <c r="E12" s="600">
        <f>'h23'!E6</f>
        <v>109</v>
      </c>
      <c r="F12" s="600">
        <f>'h23'!F6</f>
        <v>2</v>
      </c>
      <c r="G12" s="601">
        <f t="shared" si="0"/>
        <v>1862</v>
      </c>
      <c r="H12" s="587"/>
      <c r="I12" s="587"/>
      <c r="J12" s="587"/>
      <c r="K12" s="587"/>
    </row>
    <row r="13" spans="1:11" x14ac:dyDescent="0.25">
      <c r="A13" s="599" t="s">
        <v>148</v>
      </c>
      <c r="B13" s="600">
        <f>'h23'!B7</f>
        <v>5</v>
      </c>
      <c r="C13" s="600">
        <f>'h23'!C7</f>
        <v>10</v>
      </c>
      <c r="D13" s="600">
        <f>'h23'!D7</f>
        <v>59</v>
      </c>
      <c r="E13" s="600">
        <f>'h23'!E7</f>
        <v>12</v>
      </c>
      <c r="F13" s="600">
        <f>'h23'!F7</f>
        <v>2</v>
      </c>
      <c r="G13" s="601">
        <f t="shared" si="0"/>
        <v>88</v>
      </c>
      <c r="H13" s="587"/>
      <c r="I13" s="587"/>
      <c r="J13" s="587"/>
      <c r="K13" s="587"/>
    </row>
    <row r="14" spans="1:11" x14ac:dyDescent="0.25">
      <c r="A14" s="599" t="s">
        <v>149</v>
      </c>
      <c r="B14" s="600">
        <f>'h23'!B8</f>
        <v>0</v>
      </c>
      <c r="C14" s="600">
        <f>'h23'!C8</f>
        <v>70</v>
      </c>
      <c r="D14" s="600">
        <f>'h23'!D8</f>
        <v>734</v>
      </c>
      <c r="E14" s="600">
        <f>'h23'!E8</f>
        <v>209</v>
      </c>
      <c r="F14" s="600">
        <f>'h23'!F8</f>
        <v>17</v>
      </c>
      <c r="G14" s="601">
        <f t="shared" si="0"/>
        <v>1030</v>
      </c>
      <c r="H14" s="587"/>
      <c r="I14" s="587"/>
      <c r="J14" s="587"/>
      <c r="K14" s="587"/>
    </row>
    <row r="15" spans="1:11" x14ac:dyDescent="0.25">
      <c r="A15" s="599" t="s">
        <v>150</v>
      </c>
      <c r="B15" s="600">
        <f>'h23'!B9</f>
        <v>4</v>
      </c>
      <c r="C15" s="600">
        <f>'h23'!C9</f>
        <v>92</v>
      </c>
      <c r="D15" s="600">
        <f>'h23'!D9</f>
        <v>199</v>
      </c>
      <c r="E15" s="600">
        <f>'h23'!E9</f>
        <v>28</v>
      </c>
      <c r="F15" s="600">
        <f>'h23'!F9</f>
        <v>0</v>
      </c>
      <c r="G15" s="601">
        <f t="shared" si="0"/>
        <v>323</v>
      </c>
      <c r="H15" s="587"/>
      <c r="I15" s="587"/>
      <c r="J15" s="587"/>
      <c r="K15" s="587"/>
    </row>
    <row r="16" spans="1:11" x14ac:dyDescent="0.25">
      <c r="A16" s="599" t="s">
        <v>151</v>
      </c>
      <c r="B16" s="600">
        <f>'h23'!B10</f>
        <v>1</v>
      </c>
      <c r="C16" s="600">
        <f>'h23'!C10</f>
        <v>2</v>
      </c>
      <c r="D16" s="600">
        <f>'h23'!D10</f>
        <v>23</v>
      </c>
      <c r="E16" s="600">
        <f>'h23'!E10</f>
        <v>5</v>
      </c>
      <c r="F16" s="600">
        <f>'h23'!F10</f>
        <v>0</v>
      </c>
      <c r="G16" s="601">
        <f t="shared" si="0"/>
        <v>31</v>
      </c>
      <c r="H16" s="587"/>
      <c r="I16" s="587"/>
      <c r="J16" s="587"/>
      <c r="K16" s="587"/>
    </row>
    <row r="17" spans="1:11" x14ac:dyDescent="0.25">
      <c r="A17" s="599" t="s">
        <v>152</v>
      </c>
      <c r="B17" s="600">
        <f>'h23'!B11</f>
        <v>1</v>
      </c>
      <c r="C17" s="600">
        <f>'h23'!C11</f>
        <v>2</v>
      </c>
      <c r="D17" s="600">
        <f>'h23'!D11</f>
        <v>43</v>
      </c>
      <c r="E17" s="600">
        <f>'h23'!E11</f>
        <v>14</v>
      </c>
      <c r="F17" s="600">
        <f>'h23'!F11</f>
        <v>0</v>
      </c>
      <c r="G17" s="601">
        <f t="shared" si="0"/>
        <v>60</v>
      </c>
      <c r="H17" s="587"/>
      <c r="I17" s="587"/>
      <c r="J17" s="587"/>
      <c r="K17" s="587"/>
    </row>
    <row r="18" spans="1:11" x14ac:dyDescent="0.25">
      <c r="A18" s="599" t="s">
        <v>153</v>
      </c>
      <c r="B18" s="600">
        <f>'h23'!B12</f>
        <v>6</v>
      </c>
      <c r="C18" s="600">
        <f>'h23'!C12</f>
        <v>36</v>
      </c>
      <c r="D18" s="600">
        <f>'h23'!D12</f>
        <v>247</v>
      </c>
      <c r="E18" s="600">
        <f>'h23'!E12</f>
        <v>84</v>
      </c>
      <c r="F18" s="600">
        <f>'h23'!F12</f>
        <v>1</v>
      </c>
      <c r="G18" s="601">
        <f t="shared" si="0"/>
        <v>374</v>
      </c>
      <c r="H18" s="587"/>
      <c r="I18" s="587"/>
      <c r="J18" s="587"/>
      <c r="K18" s="587"/>
    </row>
    <row r="19" spans="1:11" x14ac:dyDescent="0.25">
      <c r="A19" s="599" t="s">
        <v>154</v>
      </c>
      <c r="B19" s="600">
        <f>'h23'!B13</f>
        <v>35</v>
      </c>
      <c r="C19" s="600">
        <f>'h23'!C13</f>
        <v>41</v>
      </c>
      <c r="D19" s="600">
        <f>'h23'!D13</f>
        <v>325</v>
      </c>
      <c r="E19" s="600">
        <f>'h23'!E13</f>
        <v>66</v>
      </c>
      <c r="F19" s="600">
        <f>'h23'!F13</f>
        <v>3</v>
      </c>
      <c r="G19" s="601">
        <f t="shared" si="0"/>
        <v>470</v>
      </c>
      <c r="H19" s="587"/>
      <c r="I19" s="587"/>
      <c r="J19" s="587"/>
      <c r="K19" s="587"/>
    </row>
    <row r="20" spans="1:11" x14ac:dyDescent="0.25">
      <c r="A20" s="599" t="s">
        <v>155</v>
      </c>
      <c r="B20" s="600">
        <f>'h23'!B14</f>
        <v>18</v>
      </c>
      <c r="C20" s="600">
        <f>'h23'!C14</f>
        <v>49</v>
      </c>
      <c r="D20" s="600">
        <f>'h23'!D14</f>
        <v>267</v>
      </c>
      <c r="E20" s="600">
        <f>'h23'!E14</f>
        <v>45</v>
      </c>
      <c r="F20" s="600">
        <f>'h23'!F14</f>
        <v>3</v>
      </c>
      <c r="G20" s="601">
        <f t="shared" si="0"/>
        <v>382</v>
      </c>
      <c r="H20" s="587"/>
      <c r="I20" s="587"/>
      <c r="J20" s="587"/>
      <c r="K20" s="587"/>
    </row>
    <row r="21" spans="1:11" x14ac:dyDescent="0.25">
      <c r="A21" s="599" t="s">
        <v>156</v>
      </c>
      <c r="B21" s="600">
        <f>'h23'!B15</f>
        <v>2</v>
      </c>
      <c r="C21" s="600">
        <f>'h23'!C15</f>
        <v>20</v>
      </c>
      <c r="D21" s="600">
        <f>'h23'!D15</f>
        <v>196</v>
      </c>
      <c r="E21" s="600">
        <f>'h23'!E15</f>
        <v>59</v>
      </c>
      <c r="F21" s="600">
        <f>'h23'!F15</f>
        <v>6</v>
      </c>
      <c r="G21" s="601">
        <f t="shared" si="0"/>
        <v>283</v>
      </c>
      <c r="H21" s="587"/>
      <c r="I21" s="587"/>
      <c r="J21" s="587"/>
      <c r="K21" s="587"/>
    </row>
    <row r="22" spans="1:11" x14ac:dyDescent="0.25">
      <c r="A22" s="599" t="s">
        <v>157</v>
      </c>
      <c r="B22" s="600">
        <f>'h23'!B16</f>
        <v>0</v>
      </c>
      <c r="C22" s="600">
        <f>'h23'!C16</f>
        <v>42</v>
      </c>
      <c r="D22" s="600">
        <f>'h23'!D16</f>
        <v>173</v>
      </c>
      <c r="E22" s="600">
        <f>'h23'!E16</f>
        <v>51</v>
      </c>
      <c r="F22" s="600">
        <f>'h23'!F16</f>
        <v>1</v>
      </c>
      <c r="G22" s="601">
        <f t="shared" si="0"/>
        <v>267</v>
      </c>
      <c r="H22" s="587"/>
      <c r="I22" s="587"/>
      <c r="J22" s="587"/>
      <c r="K22" s="587"/>
    </row>
    <row r="23" spans="1:11" x14ac:dyDescent="0.25">
      <c r="A23" s="599" t="s">
        <v>158</v>
      </c>
      <c r="B23" s="600">
        <f>'h23'!B17</f>
        <v>2</v>
      </c>
      <c r="C23" s="600">
        <f>'h23'!C17</f>
        <v>29</v>
      </c>
      <c r="D23" s="600">
        <f>'h23'!D17</f>
        <v>170</v>
      </c>
      <c r="E23" s="600">
        <f>'h23'!E17</f>
        <v>62</v>
      </c>
      <c r="F23" s="600">
        <f>'h23'!F17</f>
        <v>4</v>
      </c>
      <c r="G23" s="601">
        <f t="shared" si="0"/>
        <v>267</v>
      </c>
      <c r="H23" s="587"/>
      <c r="I23" s="587"/>
      <c r="J23" s="587"/>
      <c r="K23" s="587"/>
    </row>
    <row r="24" spans="1:11" x14ac:dyDescent="0.25">
      <c r="A24" s="599" t="s">
        <v>159</v>
      </c>
      <c r="B24" s="600">
        <f>'h23'!B18</f>
        <v>0</v>
      </c>
      <c r="C24" s="600">
        <f>'h23'!C18</f>
        <v>34</v>
      </c>
      <c r="D24" s="600">
        <f>'h23'!D18</f>
        <v>121</v>
      </c>
      <c r="E24" s="600">
        <f>'h23'!E18</f>
        <v>33</v>
      </c>
      <c r="F24" s="600">
        <f>'h23'!F18</f>
        <v>1</v>
      </c>
      <c r="G24" s="601">
        <f t="shared" si="0"/>
        <v>189</v>
      </c>
      <c r="H24" s="587"/>
      <c r="I24" s="587"/>
      <c r="J24" s="587"/>
      <c r="K24" s="587"/>
    </row>
    <row r="25" spans="1:11" ht="15.75" thickBot="1" x14ac:dyDescent="0.3">
      <c r="A25" s="365" t="s">
        <v>17</v>
      </c>
      <c r="B25" s="602">
        <f>SUM(B10:B24)</f>
        <v>254</v>
      </c>
      <c r="C25" s="602">
        <f t="shared" ref="C25:G25" si="1">SUM(C10:C24)</f>
        <v>1394</v>
      </c>
      <c r="D25" s="602">
        <f t="shared" si="1"/>
        <v>5124</v>
      </c>
      <c r="E25" s="602">
        <f t="shared" si="1"/>
        <v>1048</v>
      </c>
      <c r="F25" s="602">
        <f t="shared" si="1"/>
        <v>52</v>
      </c>
      <c r="G25" s="602">
        <f t="shared" si="1"/>
        <v>7872</v>
      </c>
      <c r="H25" s="587"/>
      <c r="I25" s="587"/>
      <c r="J25" s="587"/>
      <c r="K25" s="587"/>
    </row>
    <row r="27" spans="1:11" x14ac:dyDescent="0.25">
      <c r="A27" s="502" t="s">
        <v>8</v>
      </c>
      <c r="B27" s="534"/>
      <c r="C27" s="534"/>
      <c r="D27" s="534"/>
      <c r="E27" s="534"/>
      <c r="F27" s="534"/>
      <c r="G27" s="603"/>
    </row>
    <row r="28" spans="1:11" ht="45.75" customHeight="1" x14ac:dyDescent="0.25">
      <c r="A28" s="1007" t="s">
        <v>880</v>
      </c>
      <c r="B28" s="1007"/>
      <c r="C28" s="1007"/>
      <c r="D28" s="1007"/>
      <c r="E28" s="1007"/>
      <c r="F28" s="1007"/>
      <c r="G28" s="1007"/>
    </row>
    <row r="29" spans="1:11" ht="32.25" customHeight="1" x14ac:dyDescent="0.25">
      <c r="A29" s="1007" t="s">
        <v>881</v>
      </c>
      <c r="B29" s="1007"/>
      <c r="C29" s="1007"/>
      <c r="D29" s="1007"/>
      <c r="E29" s="1007"/>
      <c r="F29" s="1007"/>
      <c r="G29" s="1007"/>
      <c r="H29" s="528"/>
    </row>
    <row r="30" spans="1:11" x14ac:dyDescent="0.25">
      <c r="A30" s="485"/>
      <c r="B30" s="485"/>
      <c r="C30" s="485"/>
      <c r="D30" s="485"/>
      <c r="E30" s="485"/>
      <c r="F30" s="485"/>
      <c r="G30" s="485"/>
    </row>
    <row r="31" spans="1:11" ht="15.75" x14ac:dyDescent="0.25">
      <c r="A31" s="665" t="s">
        <v>679</v>
      </c>
      <c r="B31" s="665"/>
      <c r="C31" s="485"/>
      <c r="D31" s="485"/>
      <c r="E31" s="485"/>
      <c r="F31" s="485"/>
      <c r="G31" s="485"/>
    </row>
    <row r="32" spans="1:11" x14ac:dyDescent="0.25">
      <c r="A32" t="s">
        <v>368</v>
      </c>
      <c r="B32" t="s">
        <v>823</v>
      </c>
      <c r="C32" s="485"/>
      <c r="D32" s="485"/>
      <c r="E32" s="485"/>
      <c r="F32" s="485"/>
      <c r="G32" s="485"/>
    </row>
    <row r="33" spans="1:7" x14ac:dyDescent="0.25">
      <c r="A33" t="s">
        <v>369</v>
      </c>
      <c r="B33" t="s">
        <v>371</v>
      </c>
      <c r="C33" s="485"/>
      <c r="D33" s="485"/>
      <c r="E33" s="485"/>
      <c r="F33" s="485"/>
      <c r="G33" s="485"/>
    </row>
    <row r="34" spans="1:7" x14ac:dyDescent="0.25">
      <c r="A34" t="s">
        <v>370</v>
      </c>
      <c r="B34" t="s">
        <v>372</v>
      </c>
    </row>
    <row r="36" spans="1:7" x14ac:dyDescent="0.25">
      <c r="A36" s="604" t="s">
        <v>490</v>
      </c>
      <c r="B36" s="597" t="s">
        <v>674</v>
      </c>
      <c r="C36" s="597" t="s">
        <v>675</v>
      </c>
      <c r="D36" s="597" t="s">
        <v>676</v>
      </c>
      <c r="E36" s="597" t="s">
        <v>677</v>
      </c>
      <c r="F36" s="597" t="s">
        <v>678</v>
      </c>
      <c r="G36" s="98" t="s">
        <v>26</v>
      </c>
    </row>
    <row r="37" spans="1:7" x14ac:dyDescent="0.25">
      <c r="A37" s="605" t="s">
        <v>146</v>
      </c>
      <c r="B37" s="606">
        <f t="shared" ref="B37:F51" si="2">B10/$G10</f>
        <v>1.4861995753715499E-2</v>
      </c>
      <c r="C37" s="606">
        <f t="shared" si="2"/>
        <v>7.6433121019108277E-2</v>
      </c>
      <c r="D37" s="606">
        <f t="shared" si="2"/>
        <v>0.74946921443736725</v>
      </c>
      <c r="E37" s="606">
        <f t="shared" si="2"/>
        <v>0.14861995753715498</v>
      </c>
      <c r="F37" s="606">
        <f t="shared" si="2"/>
        <v>1.0615711252653927E-2</v>
      </c>
      <c r="G37" s="607">
        <f t="shared" ref="G37:G52" si="3">SUM(B37:F37)</f>
        <v>0.99999999999999989</v>
      </c>
    </row>
    <row r="38" spans="1:7" x14ac:dyDescent="0.25">
      <c r="A38" s="605" t="s">
        <v>147</v>
      </c>
      <c r="B38" s="606">
        <f t="shared" si="2"/>
        <v>5.1830985915492955E-2</v>
      </c>
      <c r="C38" s="606">
        <f t="shared" si="2"/>
        <v>0.37633802816901407</v>
      </c>
      <c r="D38" s="606">
        <f t="shared" si="2"/>
        <v>0.45464788732394368</v>
      </c>
      <c r="E38" s="606">
        <f t="shared" si="2"/>
        <v>0.1132394366197183</v>
      </c>
      <c r="F38" s="606">
        <f t="shared" si="2"/>
        <v>3.9436619718309857E-3</v>
      </c>
      <c r="G38" s="607">
        <f t="shared" si="3"/>
        <v>1</v>
      </c>
    </row>
    <row r="39" spans="1:7" x14ac:dyDescent="0.25">
      <c r="A39" s="605" t="s">
        <v>163</v>
      </c>
      <c r="B39" s="606">
        <f t="shared" si="2"/>
        <v>4.3501611170784105E-2</v>
      </c>
      <c r="C39" s="606">
        <f t="shared" si="2"/>
        <v>0.14124597207303974</v>
      </c>
      <c r="D39" s="606">
        <f t="shared" si="2"/>
        <v>0.75563909774436089</v>
      </c>
      <c r="E39" s="606">
        <f t="shared" si="2"/>
        <v>5.853920515574651E-2</v>
      </c>
      <c r="F39" s="606">
        <f t="shared" si="2"/>
        <v>1.0741138560687433E-3</v>
      </c>
      <c r="G39" s="607">
        <f t="shared" si="3"/>
        <v>0.99999999999999989</v>
      </c>
    </row>
    <row r="40" spans="1:7" x14ac:dyDescent="0.25">
      <c r="A40" s="605" t="s">
        <v>148</v>
      </c>
      <c r="B40" s="606">
        <f t="shared" si="2"/>
        <v>5.6818181818181816E-2</v>
      </c>
      <c r="C40" s="606">
        <f t="shared" si="2"/>
        <v>0.11363636363636363</v>
      </c>
      <c r="D40" s="606">
        <f t="shared" si="2"/>
        <v>0.67045454545454541</v>
      </c>
      <c r="E40" s="606">
        <f t="shared" si="2"/>
        <v>0.13636363636363635</v>
      </c>
      <c r="F40" s="606">
        <f t="shared" si="2"/>
        <v>2.2727272727272728E-2</v>
      </c>
      <c r="G40" s="607">
        <f t="shared" si="3"/>
        <v>0.99999999999999989</v>
      </c>
    </row>
    <row r="41" spans="1:7" x14ac:dyDescent="0.25">
      <c r="A41" s="605" t="s">
        <v>149</v>
      </c>
      <c r="B41" s="606">
        <f t="shared" si="2"/>
        <v>0</v>
      </c>
      <c r="C41" s="606">
        <f t="shared" si="2"/>
        <v>6.7961165048543687E-2</v>
      </c>
      <c r="D41" s="606">
        <f t="shared" si="2"/>
        <v>0.71262135922330094</v>
      </c>
      <c r="E41" s="606">
        <f t="shared" si="2"/>
        <v>0.20291262135922331</v>
      </c>
      <c r="F41" s="606">
        <f t="shared" si="2"/>
        <v>1.6504854368932041E-2</v>
      </c>
      <c r="G41" s="607">
        <f t="shared" si="3"/>
        <v>0.99999999999999989</v>
      </c>
    </row>
    <row r="42" spans="1:7" x14ac:dyDescent="0.25">
      <c r="A42" s="605" t="s">
        <v>150</v>
      </c>
      <c r="B42" s="606">
        <f t="shared" si="2"/>
        <v>1.238390092879257E-2</v>
      </c>
      <c r="C42" s="606">
        <f t="shared" si="2"/>
        <v>0.28482972136222912</v>
      </c>
      <c r="D42" s="606">
        <f t="shared" si="2"/>
        <v>0.61609907120743035</v>
      </c>
      <c r="E42" s="606">
        <f t="shared" si="2"/>
        <v>8.6687306501547989E-2</v>
      </c>
      <c r="F42" s="606">
        <f t="shared" si="2"/>
        <v>0</v>
      </c>
      <c r="G42" s="607">
        <f t="shared" si="3"/>
        <v>1</v>
      </c>
    </row>
    <row r="43" spans="1:7" x14ac:dyDescent="0.25">
      <c r="A43" s="605" t="s">
        <v>151</v>
      </c>
      <c r="B43" s="606">
        <f t="shared" si="2"/>
        <v>3.2258064516129031E-2</v>
      </c>
      <c r="C43" s="606">
        <f t="shared" si="2"/>
        <v>6.4516129032258063E-2</v>
      </c>
      <c r="D43" s="606">
        <f t="shared" si="2"/>
        <v>0.74193548387096775</v>
      </c>
      <c r="E43" s="606">
        <f t="shared" si="2"/>
        <v>0.16129032258064516</v>
      </c>
      <c r="F43" s="606">
        <f t="shared" si="2"/>
        <v>0</v>
      </c>
      <c r="G43" s="607">
        <f t="shared" si="3"/>
        <v>1</v>
      </c>
    </row>
    <row r="44" spans="1:7" x14ac:dyDescent="0.25">
      <c r="A44" s="605" t="s">
        <v>152</v>
      </c>
      <c r="B44" s="606">
        <f t="shared" si="2"/>
        <v>1.6666666666666666E-2</v>
      </c>
      <c r="C44" s="606">
        <f t="shared" si="2"/>
        <v>3.3333333333333333E-2</v>
      </c>
      <c r="D44" s="606">
        <f t="shared" si="2"/>
        <v>0.71666666666666667</v>
      </c>
      <c r="E44" s="606">
        <f t="shared" si="2"/>
        <v>0.23333333333333334</v>
      </c>
      <c r="F44" s="606">
        <f t="shared" si="2"/>
        <v>0</v>
      </c>
      <c r="G44" s="607">
        <f t="shared" si="3"/>
        <v>1</v>
      </c>
    </row>
    <row r="45" spans="1:7" x14ac:dyDescent="0.25">
      <c r="A45" s="605" t="s">
        <v>153</v>
      </c>
      <c r="B45" s="606">
        <f t="shared" si="2"/>
        <v>1.6042780748663103E-2</v>
      </c>
      <c r="C45" s="606">
        <f t="shared" si="2"/>
        <v>9.6256684491978606E-2</v>
      </c>
      <c r="D45" s="606">
        <f t="shared" si="2"/>
        <v>0.66042780748663099</v>
      </c>
      <c r="E45" s="606">
        <f t="shared" si="2"/>
        <v>0.22459893048128343</v>
      </c>
      <c r="F45" s="606">
        <f t="shared" si="2"/>
        <v>2.6737967914438501E-3</v>
      </c>
      <c r="G45" s="607">
        <f t="shared" si="3"/>
        <v>1</v>
      </c>
    </row>
    <row r="46" spans="1:7" x14ac:dyDescent="0.25">
      <c r="A46" s="605" t="s">
        <v>154</v>
      </c>
      <c r="B46" s="606">
        <f t="shared" si="2"/>
        <v>7.4468085106382975E-2</v>
      </c>
      <c r="C46" s="606">
        <f t="shared" si="2"/>
        <v>8.723404255319149E-2</v>
      </c>
      <c r="D46" s="606">
        <f t="shared" si="2"/>
        <v>0.69148936170212771</v>
      </c>
      <c r="E46" s="606">
        <f t="shared" si="2"/>
        <v>0.14042553191489363</v>
      </c>
      <c r="F46" s="606">
        <f t="shared" si="2"/>
        <v>6.382978723404255E-3</v>
      </c>
      <c r="G46" s="607">
        <f t="shared" si="3"/>
        <v>1</v>
      </c>
    </row>
    <row r="47" spans="1:7" x14ac:dyDescent="0.25">
      <c r="A47" s="605" t="s">
        <v>155</v>
      </c>
      <c r="B47" s="606">
        <f t="shared" si="2"/>
        <v>4.712041884816754E-2</v>
      </c>
      <c r="C47" s="606">
        <f t="shared" si="2"/>
        <v>0.12827225130890052</v>
      </c>
      <c r="D47" s="606">
        <f t="shared" si="2"/>
        <v>0.69895287958115182</v>
      </c>
      <c r="E47" s="606">
        <f t="shared" si="2"/>
        <v>0.11780104712041885</v>
      </c>
      <c r="F47" s="606">
        <f t="shared" si="2"/>
        <v>7.8534031413612562E-3</v>
      </c>
      <c r="G47" s="607">
        <f t="shared" si="3"/>
        <v>1</v>
      </c>
    </row>
    <row r="48" spans="1:7" x14ac:dyDescent="0.25">
      <c r="A48" s="605" t="s">
        <v>156</v>
      </c>
      <c r="B48" s="606">
        <f t="shared" si="2"/>
        <v>7.0671378091872791E-3</v>
      </c>
      <c r="C48" s="606">
        <f t="shared" si="2"/>
        <v>7.0671378091872794E-2</v>
      </c>
      <c r="D48" s="606">
        <f t="shared" si="2"/>
        <v>0.69257950530035339</v>
      </c>
      <c r="E48" s="606">
        <f t="shared" si="2"/>
        <v>0.20848056537102475</v>
      </c>
      <c r="F48" s="606">
        <f t="shared" si="2"/>
        <v>2.1201413427561839E-2</v>
      </c>
      <c r="G48" s="607">
        <f t="shared" si="3"/>
        <v>1</v>
      </c>
    </row>
    <row r="49" spans="1:7" x14ac:dyDescent="0.25">
      <c r="A49" s="605" t="s">
        <v>157</v>
      </c>
      <c r="B49" s="606">
        <f t="shared" si="2"/>
        <v>0</v>
      </c>
      <c r="C49" s="606">
        <f t="shared" si="2"/>
        <v>0.15730337078651685</v>
      </c>
      <c r="D49" s="606">
        <f t="shared" si="2"/>
        <v>0.64794007490636707</v>
      </c>
      <c r="E49" s="606">
        <f t="shared" si="2"/>
        <v>0.19101123595505617</v>
      </c>
      <c r="F49" s="606">
        <f t="shared" si="2"/>
        <v>3.7453183520599251E-3</v>
      </c>
      <c r="G49" s="607">
        <f t="shared" si="3"/>
        <v>1</v>
      </c>
    </row>
    <row r="50" spans="1:7" x14ac:dyDescent="0.25">
      <c r="A50" s="605" t="s">
        <v>158</v>
      </c>
      <c r="B50" s="606">
        <f t="shared" si="2"/>
        <v>7.4906367041198503E-3</v>
      </c>
      <c r="C50" s="606">
        <f t="shared" si="2"/>
        <v>0.10861423220973783</v>
      </c>
      <c r="D50" s="606">
        <f t="shared" si="2"/>
        <v>0.63670411985018727</v>
      </c>
      <c r="E50" s="606">
        <f t="shared" si="2"/>
        <v>0.23220973782771537</v>
      </c>
      <c r="F50" s="606">
        <f t="shared" si="2"/>
        <v>1.4981273408239701E-2</v>
      </c>
      <c r="G50" s="607">
        <f t="shared" si="3"/>
        <v>1</v>
      </c>
    </row>
    <row r="51" spans="1:7" x14ac:dyDescent="0.25">
      <c r="A51" s="605" t="s">
        <v>159</v>
      </c>
      <c r="B51" s="606">
        <f t="shared" si="2"/>
        <v>0</v>
      </c>
      <c r="C51" s="606">
        <f t="shared" si="2"/>
        <v>0.17989417989417988</v>
      </c>
      <c r="D51" s="606">
        <f t="shared" si="2"/>
        <v>0.64021164021164023</v>
      </c>
      <c r="E51" s="606">
        <f t="shared" si="2"/>
        <v>0.17460317460317459</v>
      </c>
      <c r="F51" s="606">
        <f t="shared" si="2"/>
        <v>5.2910052910052907E-3</v>
      </c>
      <c r="G51" s="607">
        <f t="shared" si="3"/>
        <v>1</v>
      </c>
    </row>
    <row r="52" spans="1:7" ht="15.75" thickBot="1" x14ac:dyDescent="0.3">
      <c r="A52" s="608" t="s">
        <v>17</v>
      </c>
      <c r="B52" s="609">
        <f>SUM('T23'!$H$5:$H$19)/SUM('T23'!$D$5:$H$19)</f>
        <v>1.2198127156234598E-2</v>
      </c>
      <c r="C52" s="609">
        <f>SUM('T23'!$F$5:$F$19)/SUM('T23'!$D$5:$H$19)</f>
        <v>0.1006037456875308</v>
      </c>
      <c r="D52" s="609">
        <f>SUM('T23'!$E$5:$E$19)/SUM('T23'!$D$5:$H$19)</f>
        <v>0.10023410547067521</v>
      </c>
      <c r="E52" s="609">
        <f>SUM('T23'!$D$5:$D$19)/SUM('T23'!$D$5:$H$19)</f>
        <v>0.5055446032528339</v>
      </c>
      <c r="F52" s="609">
        <f>SUM('T23'!$G$5:$G$19)/SUM('T23'!$D$5:$H$19)</f>
        <v>0.2814194184327255</v>
      </c>
      <c r="G52" s="609">
        <f t="shared" si="3"/>
        <v>1</v>
      </c>
    </row>
    <row r="54" spans="1:7" x14ac:dyDescent="0.25">
      <c r="A54" s="605" t="s">
        <v>8</v>
      </c>
    </row>
    <row r="55" spans="1:7" ht="45" customHeight="1" x14ac:dyDescent="0.25">
      <c r="A55" s="1007" t="s">
        <v>880</v>
      </c>
      <c r="B55" s="1007"/>
      <c r="C55" s="1007"/>
      <c r="D55" s="1007"/>
      <c r="E55" s="1007"/>
      <c r="F55" s="1007"/>
      <c r="G55" s="1007"/>
    </row>
    <row r="56" spans="1:7" x14ac:dyDescent="0.25">
      <c r="A56" s="1007"/>
      <c r="B56" s="1007"/>
      <c r="C56" s="1007"/>
      <c r="D56" s="1007"/>
      <c r="E56" s="1007"/>
      <c r="F56" s="1007"/>
      <c r="G56" s="1007"/>
    </row>
  </sheetData>
  <sheetProtection algorithmName="SHA-512" hashValue="GOYb54qRNo2dmBLzneEgXiLJXCvmQz01YKrQr9hjYdFlKRpgWL0oUL7dJ9SV2HmS6Uq81lsLP5SFq1vxbr1UwA==" saltValue="0WzVJ0rvPcT4cugWbU5uPw==" spinCount="100000" sheet="1" scenarios="1" pivotTables="0"/>
  <mergeCells count="4">
    <mergeCell ref="A28:G28"/>
    <mergeCell ref="A29:G29"/>
    <mergeCell ref="A55:G55"/>
    <mergeCell ref="A56:G56"/>
  </mergeCells>
  <hyperlinks>
    <hyperlink ref="A2" location="'Table of Contents'!A1" display="Back to Table of Contents"/>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3" tint="0.39997558519241921"/>
  </sheetPr>
  <dimension ref="A1:G19"/>
  <sheetViews>
    <sheetView workbookViewId="0">
      <selection activeCell="Q33" sqref="Q33"/>
    </sheetView>
  </sheetViews>
  <sheetFormatPr defaultRowHeight="15" x14ac:dyDescent="0.25"/>
  <cols>
    <col min="1" max="1" width="13.140625" bestFit="1" customWidth="1"/>
    <col min="2" max="2" width="10" bestFit="1" customWidth="1"/>
    <col min="3" max="3" width="8.42578125" bestFit="1" customWidth="1"/>
    <col min="4" max="4" width="9.42578125" bestFit="1" customWidth="1"/>
    <col min="5" max="5" width="8.85546875" bestFit="1" customWidth="1"/>
    <col min="6" max="6" width="10.140625" bestFit="1" customWidth="1"/>
    <col min="7" max="7" width="12" bestFit="1" customWidth="1"/>
  </cols>
  <sheetData>
    <row r="1" spans="1:7" x14ac:dyDescent="0.25">
      <c r="A1" s="569" t="s">
        <v>334</v>
      </c>
      <c r="B1" t="s">
        <v>258</v>
      </c>
    </row>
    <row r="3" spans="1:7" x14ac:dyDescent="0.25">
      <c r="A3" s="569" t="s">
        <v>250</v>
      </c>
      <c r="B3" t="s">
        <v>493</v>
      </c>
      <c r="C3" t="s">
        <v>494</v>
      </c>
      <c r="D3" t="s">
        <v>491</v>
      </c>
      <c r="E3" t="s">
        <v>492</v>
      </c>
      <c r="F3" t="s">
        <v>495</v>
      </c>
      <c r="G3" t="s">
        <v>256</v>
      </c>
    </row>
    <row r="4" spans="1:7" x14ac:dyDescent="0.25">
      <c r="A4" s="986" t="s">
        <v>442</v>
      </c>
      <c r="B4" s="571">
        <v>7</v>
      </c>
      <c r="C4" s="571">
        <v>36</v>
      </c>
      <c r="D4" s="571">
        <v>353</v>
      </c>
      <c r="E4" s="571">
        <v>70</v>
      </c>
      <c r="F4" s="571">
        <v>5</v>
      </c>
      <c r="G4" s="571">
        <v>471</v>
      </c>
    </row>
    <row r="5" spans="1:7" x14ac:dyDescent="0.25">
      <c r="A5" s="986" t="s">
        <v>443</v>
      </c>
      <c r="B5" s="571">
        <v>92</v>
      </c>
      <c r="C5" s="571">
        <v>668</v>
      </c>
      <c r="D5" s="571">
        <v>807</v>
      </c>
      <c r="E5" s="571">
        <v>201</v>
      </c>
      <c r="F5" s="571">
        <v>7</v>
      </c>
      <c r="G5" s="571">
        <v>1775</v>
      </c>
    </row>
    <row r="6" spans="1:7" x14ac:dyDescent="0.25">
      <c r="A6" s="986" t="s">
        <v>444</v>
      </c>
      <c r="B6" s="571">
        <v>81</v>
      </c>
      <c r="C6" s="571">
        <v>263</v>
      </c>
      <c r="D6" s="571">
        <v>1407</v>
      </c>
      <c r="E6" s="571">
        <v>109</v>
      </c>
      <c r="F6" s="571">
        <v>2</v>
      </c>
      <c r="G6" s="571">
        <v>1862</v>
      </c>
    </row>
    <row r="7" spans="1:7" x14ac:dyDescent="0.25">
      <c r="A7" s="986" t="s">
        <v>445</v>
      </c>
      <c r="B7" s="571">
        <v>5</v>
      </c>
      <c r="C7" s="571">
        <v>10</v>
      </c>
      <c r="D7" s="571">
        <v>59</v>
      </c>
      <c r="E7" s="571">
        <v>12</v>
      </c>
      <c r="F7" s="571">
        <v>2</v>
      </c>
      <c r="G7" s="571">
        <v>88</v>
      </c>
    </row>
    <row r="8" spans="1:7" x14ac:dyDescent="0.25">
      <c r="A8" s="986" t="s">
        <v>446</v>
      </c>
      <c r="B8" s="571"/>
      <c r="C8" s="571">
        <v>70</v>
      </c>
      <c r="D8" s="571">
        <v>734</v>
      </c>
      <c r="E8" s="571">
        <v>209</v>
      </c>
      <c r="F8" s="571">
        <v>17</v>
      </c>
      <c r="G8" s="571">
        <v>1030</v>
      </c>
    </row>
    <row r="9" spans="1:7" x14ac:dyDescent="0.25">
      <c r="A9" s="986" t="s">
        <v>447</v>
      </c>
      <c r="B9" s="571">
        <v>4</v>
      </c>
      <c r="C9" s="571">
        <v>92</v>
      </c>
      <c r="D9" s="571">
        <v>199</v>
      </c>
      <c r="E9" s="571">
        <v>28</v>
      </c>
      <c r="F9" s="571"/>
      <c r="G9" s="571">
        <v>323</v>
      </c>
    </row>
    <row r="10" spans="1:7" x14ac:dyDescent="0.25">
      <c r="A10" s="986" t="s">
        <v>448</v>
      </c>
      <c r="B10" s="571">
        <v>1</v>
      </c>
      <c r="C10" s="571">
        <v>2</v>
      </c>
      <c r="D10" s="571">
        <v>23</v>
      </c>
      <c r="E10" s="571">
        <v>5</v>
      </c>
      <c r="F10" s="571"/>
      <c r="G10" s="571">
        <v>31</v>
      </c>
    </row>
    <row r="11" spans="1:7" x14ac:dyDescent="0.25">
      <c r="A11" s="986" t="s">
        <v>449</v>
      </c>
      <c r="B11" s="571">
        <v>1</v>
      </c>
      <c r="C11" s="571">
        <v>2</v>
      </c>
      <c r="D11" s="571">
        <v>43</v>
      </c>
      <c r="E11" s="571">
        <v>14</v>
      </c>
      <c r="F11" s="571"/>
      <c r="G11" s="571">
        <v>60</v>
      </c>
    </row>
    <row r="12" spans="1:7" x14ac:dyDescent="0.25">
      <c r="A12" s="986" t="s">
        <v>450</v>
      </c>
      <c r="B12" s="571">
        <v>6</v>
      </c>
      <c r="C12" s="571">
        <v>36</v>
      </c>
      <c r="D12" s="571">
        <v>247</v>
      </c>
      <c r="E12" s="571">
        <v>84</v>
      </c>
      <c r="F12" s="571">
        <v>1</v>
      </c>
      <c r="G12" s="571">
        <v>374</v>
      </c>
    </row>
    <row r="13" spans="1:7" x14ac:dyDescent="0.25">
      <c r="A13" s="986" t="s">
        <v>451</v>
      </c>
      <c r="B13" s="571">
        <v>35</v>
      </c>
      <c r="C13" s="571">
        <v>41</v>
      </c>
      <c r="D13" s="571">
        <v>325</v>
      </c>
      <c r="E13" s="571">
        <v>66</v>
      </c>
      <c r="F13" s="571">
        <v>3</v>
      </c>
      <c r="G13" s="571">
        <v>470</v>
      </c>
    </row>
    <row r="14" spans="1:7" x14ac:dyDescent="0.25">
      <c r="A14" s="986" t="s">
        <v>452</v>
      </c>
      <c r="B14" s="571">
        <v>18</v>
      </c>
      <c r="C14" s="571">
        <v>49</v>
      </c>
      <c r="D14" s="571">
        <v>267</v>
      </c>
      <c r="E14" s="571">
        <v>45</v>
      </c>
      <c r="F14" s="571">
        <v>3</v>
      </c>
      <c r="G14" s="571">
        <v>382</v>
      </c>
    </row>
    <row r="15" spans="1:7" x14ac:dyDescent="0.25">
      <c r="A15" s="986" t="s">
        <v>453</v>
      </c>
      <c r="B15" s="571">
        <v>2</v>
      </c>
      <c r="C15" s="571">
        <v>20</v>
      </c>
      <c r="D15" s="571">
        <v>196</v>
      </c>
      <c r="E15" s="571">
        <v>59</v>
      </c>
      <c r="F15" s="571">
        <v>6</v>
      </c>
      <c r="G15" s="571">
        <v>283</v>
      </c>
    </row>
    <row r="16" spans="1:7" x14ac:dyDescent="0.25">
      <c r="A16" s="986" t="s">
        <v>454</v>
      </c>
      <c r="B16" s="571"/>
      <c r="C16" s="571">
        <v>42</v>
      </c>
      <c r="D16" s="571">
        <v>173</v>
      </c>
      <c r="E16" s="571">
        <v>51</v>
      </c>
      <c r="F16" s="571">
        <v>1</v>
      </c>
      <c r="G16" s="571">
        <v>267</v>
      </c>
    </row>
    <row r="17" spans="1:7" x14ac:dyDescent="0.25">
      <c r="A17" s="986" t="s">
        <v>455</v>
      </c>
      <c r="B17" s="571">
        <v>2</v>
      </c>
      <c r="C17" s="571">
        <v>29</v>
      </c>
      <c r="D17" s="571">
        <v>170</v>
      </c>
      <c r="E17" s="571">
        <v>62</v>
      </c>
      <c r="F17" s="571">
        <v>4</v>
      </c>
      <c r="G17" s="571">
        <v>267</v>
      </c>
    </row>
    <row r="18" spans="1:7" x14ac:dyDescent="0.25">
      <c r="A18" s="986" t="s">
        <v>456</v>
      </c>
      <c r="B18" s="571"/>
      <c r="C18" s="571">
        <v>34</v>
      </c>
      <c r="D18" s="571">
        <v>121</v>
      </c>
      <c r="E18" s="571">
        <v>33</v>
      </c>
      <c r="F18" s="571">
        <v>1</v>
      </c>
      <c r="G18" s="571">
        <v>189</v>
      </c>
    </row>
    <row r="19" spans="1:7" x14ac:dyDescent="0.25">
      <c r="A19" s="986" t="s">
        <v>255</v>
      </c>
      <c r="B19" s="571">
        <v>254</v>
      </c>
      <c r="C19" s="571">
        <v>1394</v>
      </c>
      <c r="D19" s="571">
        <v>5124</v>
      </c>
      <c r="E19" s="571">
        <v>1048</v>
      </c>
      <c r="F19" s="571">
        <v>52</v>
      </c>
      <c r="G19" s="571">
        <v>7872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3" tint="0.39997558519241921"/>
    <pageSetUpPr fitToPage="1"/>
  </sheetPr>
  <dimension ref="A1:H6"/>
  <sheetViews>
    <sheetView showGridLines="0" workbookViewId="0">
      <pane ySplit="2" topLeftCell="A3" activePane="bottomLeft" state="frozen"/>
      <selection sqref="A1:C1"/>
      <selection pane="bottomLeft" sqref="A1:C1"/>
    </sheetView>
  </sheetViews>
  <sheetFormatPr defaultRowHeight="15" x14ac:dyDescent="0.25"/>
  <sheetData>
    <row r="1" spans="1:8" ht="15.75" x14ac:dyDescent="0.25">
      <c r="A1" s="822" t="s">
        <v>655</v>
      </c>
      <c r="B1" s="822"/>
      <c r="C1" s="822"/>
    </row>
    <row r="2" spans="1:8" ht="15.75" x14ac:dyDescent="0.25">
      <c r="A2" s="790" t="s">
        <v>598</v>
      </c>
      <c r="B2" s="798"/>
      <c r="C2" s="798"/>
    </row>
    <row r="4" spans="1:8" ht="15.75" x14ac:dyDescent="0.25">
      <c r="A4" s="998" t="s">
        <v>680</v>
      </c>
      <c r="B4" s="998"/>
      <c r="C4" s="998"/>
      <c r="D4" s="998"/>
      <c r="E4" s="998"/>
      <c r="F4" s="998"/>
      <c r="G4" s="998"/>
      <c r="H4" s="998"/>
    </row>
    <row r="5" spans="1:8" x14ac:dyDescent="0.25">
      <c r="A5" s="971" t="s">
        <v>826</v>
      </c>
    </row>
    <row r="6" spans="1:8" x14ac:dyDescent="0.25">
      <c r="A6" s="971" t="s">
        <v>774</v>
      </c>
    </row>
  </sheetData>
  <sheetProtection algorithmName="SHA-512" hashValue="jJXxuGfjkgpvRm1jgnHv2fGpe39Tgwn2KP8iL9nLJhxLTvXtXFHbgzteDlacs3mCUUMOzmbM+Ca0Nhg/Beawrw==" saltValue="aQ4FpMBbuip9iuFd8AEV1g==" spinCount="100000" sheet="1" scenarios="1"/>
  <mergeCells count="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9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4" tint="0.59999389629810485"/>
  </sheetPr>
  <dimension ref="A1:H6"/>
  <sheetViews>
    <sheetView showGridLines="0" workbookViewId="0">
      <pane ySplit="2" topLeftCell="A3" activePane="bottomLeft" state="frozen"/>
      <selection sqref="A1:C1"/>
      <selection pane="bottomLeft" sqref="A1:C1"/>
    </sheetView>
  </sheetViews>
  <sheetFormatPr defaultRowHeight="15" x14ac:dyDescent="0.25"/>
  <sheetData>
    <row r="1" spans="1:8" ht="15.75" x14ac:dyDescent="0.25">
      <c r="A1" s="993" t="s">
        <v>611</v>
      </c>
      <c r="B1" s="993"/>
      <c r="C1" s="993"/>
    </row>
    <row r="2" spans="1:8" ht="15.75" x14ac:dyDescent="0.25">
      <c r="A2" s="790" t="s">
        <v>598</v>
      </c>
      <c r="B2" s="792"/>
      <c r="C2" s="792"/>
    </row>
    <row r="4" spans="1:8" ht="15.75" x14ac:dyDescent="0.25">
      <c r="A4" s="998" t="s">
        <v>613</v>
      </c>
      <c r="B4" s="998"/>
      <c r="C4" s="998"/>
      <c r="D4" s="998"/>
      <c r="E4" s="998"/>
      <c r="F4" s="998"/>
      <c r="G4" s="998"/>
      <c r="H4" s="998"/>
    </row>
    <row r="5" spans="1:8" x14ac:dyDescent="0.25">
      <c r="A5" s="971" t="s">
        <v>826</v>
      </c>
    </row>
    <row r="6" spans="1:8" x14ac:dyDescent="0.25">
      <c r="A6" s="971" t="s">
        <v>748</v>
      </c>
    </row>
  </sheetData>
  <sheetProtection algorithmName="SHA-512" hashValue="MDk0JXET2njPS9LTkE63rS+Ok1DIfQH0uBrrvLT83DfOaFd+OL48+2ky4Lfdjrfz3B2+SFt3xeQJHAJ6Gi2S1w==" saltValue="FT3UCXm81uZkflpXtW3jMA==" spinCount="100000" sheet="1" scenarios="1"/>
  <mergeCells count="2">
    <mergeCell ref="A1:C1"/>
    <mergeCell ref="A4:H4"/>
  </mergeCells>
  <hyperlinks>
    <hyperlink ref="A2" location="'Table of Contents'!A1" display="Back to Table of Contents"/>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3" tint="0.39997558519241921"/>
    <pageSetUpPr fitToPage="1"/>
  </sheetPr>
  <dimension ref="A1:H6"/>
  <sheetViews>
    <sheetView showGridLines="0" workbookViewId="0">
      <pane ySplit="2" topLeftCell="A3" activePane="bottomLeft" state="frozen"/>
      <selection sqref="A1:C1"/>
      <selection pane="bottomLeft"/>
    </sheetView>
  </sheetViews>
  <sheetFormatPr defaultRowHeight="15" x14ac:dyDescent="0.25"/>
  <sheetData>
    <row r="1" spans="1:8" ht="15.75" x14ac:dyDescent="0.25">
      <c r="A1" s="822" t="s">
        <v>655</v>
      </c>
      <c r="B1" s="822"/>
      <c r="C1" s="822"/>
    </row>
    <row r="2" spans="1:8" ht="15.75" x14ac:dyDescent="0.25">
      <c r="A2" s="790" t="s">
        <v>598</v>
      </c>
      <c r="B2" s="798"/>
      <c r="C2" s="798"/>
    </row>
    <row r="4" spans="1:8" ht="15.75" x14ac:dyDescent="0.25">
      <c r="A4" s="998" t="s">
        <v>681</v>
      </c>
      <c r="B4" s="998"/>
      <c r="C4" s="998"/>
      <c r="D4" s="998"/>
      <c r="E4" s="998"/>
      <c r="F4" s="998"/>
      <c r="G4" s="998"/>
      <c r="H4" s="998"/>
    </row>
    <row r="5" spans="1:8" x14ac:dyDescent="0.25">
      <c r="A5" s="971" t="s">
        <v>826</v>
      </c>
    </row>
    <row r="6" spans="1:8" x14ac:dyDescent="0.25">
      <c r="A6" s="971" t="s">
        <v>775</v>
      </c>
    </row>
  </sheetData>
  <sheetProtection algorithmName="SHA-512" hashValue="rf0UJDwAej26NQBbeev/Mnt8ia+N98lNknuaEDDbc92N7LQkyb0kkENAMqJpvmbzoIp0WmTcdg8okOZjAt+FQA==" saltValue="2dUlXKd9BwP7198oKefRZQ==" spinCount="100000" sheet="1" scenarios="1" pivotTables="0"/>
  <mergeCells count="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4:F36"/>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6" x14ac:dyDescent="0.25">
      <c r="A4" s="980" t="s">
        <v>883</v>
      </c>
      <c r="B4" s="980" t="s">
        <v>884</v>
      </c>
      <c r="C4" s="980" t="s">
        <v>62</v>
      </c>
      <c r="D4" s="980" t="s">
        <v>885</v>
      </c>
      <c r="E4" s="980" t="s">
        <v>15</v>
      </c>
      <c r="F4" s="980" t="s">
        <v>886</v>
      </c>
    </row>
    <row r="5" spans="1:6" x14ac:dyDescent="0.25">
      <c r="A5" s="981" t="s">
        <v>31</v>
      </c>
      <c r="B5" s="981" t="s">
        <v>306</v>
      </c>
      <c r="C5" s="981" t="s">
        <v>31</v>
      </c>
      <c r="D5" s="981" t="s">
        <v>374</v>
      </c>
      <c r="E5" s="981" t="s">
        <v>175</v>
      </c>
      <c r="F5" s="981" t="s">
        <v>413</v>
      </c>
    </row>
    <row r="6" spans="1:6" x14ac:dyDescent="0.25">
      <c r="A6" s="981" t="s">
        <v>32</v>
      </c>
      <c r="B6" s="981" t="s">
        <v>307</v>
      </c>
      <c r="C6" s="981" t="s">
        <v>64</v>
      </c>
      <c r="D6" s="981" t="s">
        <v>375</v>
      </c>
      <c r="E6" s="981" t="s">
        <v>175</v>
      </c>
      <c r="F6" s="981" t="s">
        <v>413</v>
      </c>
    </row>
    <row r="7" spans="1:6" x14ac:dyDescent="0.25">
      <c r="A7" s="981" t="s">
        <v>33</v>
      </c>
      <c r="B7" s="981" t="s">
        <v>313</v>
      </c>
      <c r="C7" s="981" t="s">
        <v>67</v>
      </c>
      <c r="D7" s="981" t="s">
        <v>376</v>
      </c>
      <c r="E7" s="981" t="s">
        <v>175</v>
      </c>
      <c r="F7" s="981" t="s">
        <v>413</v>
      </c>
    </row>
    <row r="8" spans="1:6" x14ac:dyDescent="0.25">
      <c r="A8" s="981" t="s">
        <v>34</v>
      </c>
      <c r="B8" s="981" t="s">
        <v>308</v>
      </c>
      <c r="C8" s="981" t="s">
        <v>65</v>
      </c>
      <c r="D8" s="981" t="s">
        <v>377</v>
      </c>
      <c r="E8" s="981" t="s">
        <v>176</v>
      </c>
      <c r="F8" s="981" t="s">
        <v>412</v>
      </c>
    </row>
    <row r="9" spans="1:6" x14ac:dyDescent="0.25">
      <c r="A9" s="981" t="s">
        <v>262</v>
      </c>
      <c r="B9" s="981" t="s">
        <v>309</v>
      </c>
      <c r="C9" s="981" t="s">
        <v>178</v>
      </c>
      <c r="D9" s="981" t="s">
        <v>382</v>
      </c>
      <c r="E9" s="981" t="s">
        <v>177</v>
      </c>
      <c r="F9" s="981" t="s">
        <v>411</v>
      </c>
    </row>
    <row r="10" spans="1:6" x14ac:dyDescent="0.25">
      <c r="A10" s="981" t="s">
        <v>35</v>
      </c>
      <c r="B10" s="981" t="s">
        <v>287</v>
      </c>
      <c r="C10" s="981" t="s">
        <v>73</v>
      </c>
      <c r="D10" s="981" t="s">
        <v>389</v>
      </c>
      <c r="E10" s="981" t="s">
        <v>177</v>
      </c>
      <c r="F10" s="981" t="s">
        <v>411</v>
      </c>
    </row>
    <row r="11" spans="1:6" x14ac:dyDescent="0.25">
      <c r="A11" s="981" t="s">
        <v>36</v>
      </c>
      <c r="B11" s="981" t="s">
        <v>288</v>
      </c>
      <c r="C11" s="981" t="s">
        <v>36</v>
      </c>
      <c r="D11" s="981" t="s">
        <v>378</v>
      </c>
      <c r="E11" s="981" t="s">
        <v>176</v>
      </c>
      <c r="F11" s="981" t="s">
        <v>412</v>
      </c>
    </row>
    <row r="12" spans="1:6" x14ac:dyDescent="0.25">
      <c r="A12" s="981" t="s">
        <v>37</v>
      </c>
      <c r="B12" s="981" t="s">
        <v>314</v>
      </c>
      <c r="C12" s="981" t="s">
        <v>67</v>
      </c>
      <c r="D12" s="981" t="s">
        <v>376</v>
      </c>
      <c r="E12" s="981" t="s">
        <v>175</v>
      </c>
      <c r="F12" s="981" t="s">
        <v>413</v>
      </c>
    </row>
    <row r="13" spans="1:6" x14ac:dyDescent="0.25">
      <c r="A13" s="981" t="s">
        <v>38</v>
      </c>
      <c r="B13" s="981" t="s">
        <v>289</v>
      </c>
      <c r="C13" s="981" t="s">
        <v>68</v>
      </c>
      <c r="D13" s="981" t="s">
        <v>379</v>
      </c>
      <c r="E13" s="981" t="s">
        <v>176</v>
      </c>
      <c r="F13" s="981" t="s">
        <v>412</v>
      </c>
    </row>
    <row r="14" spans="1:6" x14ac:dyDescent="0.25">
      <c r="A14" s="981" t="s">
        <v>39</v>
      </c>
      <c r="B14" s="981" t="s">
        <v>316</v>
      </c>
      <c r="C14" s="981" t="s">
        <v>65</v>
      </c>
      <c r="D14" s="981" t="s">
        <v>377</v>
      </c>
      <c r="E14" s="981" t="s">
        <v>176</v>
      </c>
      <c r="F14" s="981" t="s">
        <v>412</v>
      </c>
    </row>
    <row r="15" spans="1:6" x14ac:dyDescent="0.25">
      <c r="A15" s="981" t="s">
        <v>40</v>
      </c>
      <c r="B15" s="981" t="s">
        <v>290</v>
      </c>
      <c r="C15" s="981" t="s">
        <v>69</v>
      </c>
      <c r="D15" s="981" t="s">
        <v>380</v>
      </c>
      <c r="E15" s="981" t="s">
        <v>177</v>
      </c>
      <c r="F15" s="981" t="s">
        <v>411</v>
      </c>
    </row>
    <row r="16" spans="1:6" x14ac:dyDescent="0.25">
      <c r="A16" s="981" t="s">
        <v>41</v>
      </c>
      <c r="B16" s="981" t="s">
        <v>291</v>
      </c>
      <c r="C16" s="981" t="s">
        <v>70</v>
      </c>
      <c r="D16" s="981" t="s">
        <v>381</v>
      </c>
      <c r="E16" s="981" t="s">
        <v>176</v>
      </c>
      <c r="F16" s="981" t="s">
        <v>412</v>
      </c>
    </row>
    <row r="17" spans="1:6" x14ac:dyDescent="0.25">
      <c r="A17" s="981" t="s">
        <v>42</v>
      </c>
      <c r="B17" s="981" t="s">
        <v>293</v>
      </c>
      <c r="C17" s="981" t="s">
        <v>71</v>
      </c>
      <c r="D17" s="981" t="s">
        <v>383</v>
      </c>
      <c r="E17" s="981" t="s">
        <v>177</v>
      </c>
      <c r="F17" s="981" t="s">
        <v>411</v>
      </c>
    </row>
    <row r="18" spans="1:6" x14ac:dyDescent="0.25">
      <c r="A18" s="981" t="s">
        <v>43</v>
      </c>
      <c r="B18" s="981" t="s">
        <v>318</v>
      </c>
      <c r="C18" s="981" t="s">
        <v>43</v>
      </c>
      <c r="D18" s="981" t="s">
        <v>384</v>
      </c>
      <c r="E18" s="981" t="s">
        <v>177</v>
      </c>
      <c r="F18" s="981" t="s">
        <v>411</v>
      </c>
    </row>
    <row r="19" spans="1:6" x14ac:dyDescent="0.25">
      <c r="A19" s="981" t="s">
        <v>124</v>
      </c>
      <c r="B19" s="981" t="s">
        <v>317</v>
      </c>
      <c r="C19" s="981" t="s">
        <v>124</v>
      </c>
      <c r="D19" s="981" t="s">
        <v>385</v>
      </c>
      <c r="E19" s="981" t="s">
        <v>176</v>
      </c>
      <c r="F19" s="981" t="s">
        <v>412</v>
      </c>
    </row>
    <row r="20" spans="1:6" x14ac:dyDescent="0.25">
      <c r="A20" s="981" t="s">
        <v>44</v>
      </c>
      <c r="B20" s="981" t="s">
        <v>294</v>
      </c>
      <c r="C20" s="981" t="s">
        <v>72</v>
      </c>
      <c r="D20" s="981" t="s">
        <v>386</v>
      </c>
      <c r="E20" s="981" t="s">
        <v>175</v>
      </c>
      <c r="F20" s="981" t="s">
        <v>413</v>
      </c>
    </row>
    <row r="21" spans="1:6" x14ac:dyDescent="0.25">
      <c r="A21" s="981" t="s">
        <v>45</v>
      </c>
      <c r="B21" s="981" t="s">
        <v>295</v>
      </c>
      <c r="C21" s="981" t="s">
        <v>70</v>
      </c>
      <c r="D21" s="981" t="s">
        <v>381</v>
      </c>
      <c r="E21" s="981" t="s">
        <v>176</v>
      </c>
      <c r="F21" s="981" t="s">
        <v>412</v>
      </c>
    </row>
    <row r="22" spans="1:6" x14ac:dyDescent="0.25">
      <c r="A22" s="981" t="s">
        <v>46</v>
      </c>
      <c r="B22" s="981" t="s">
        <v>296</v>
      </c>
      <c r="C22" s="981" t="s">
        <v>69</v>
      </c>
      <c r="D22" s="981" t="s">
        <v>380</v>
      </c>
      <c r="E22" s="981" t="s">
        <v>177</v>
      </c>
      <c r="F22" s="981" t="s">
        <v>411</v>
      </c>
    </row>
    <row r="23" spans="1:6" x14ac:dyDescent="0.25">
      <c r="A23" s="981" t="s">
        <v>47</v>
      </c>
      <c r="B23" s="981" t="s">
        <v>297</v>
      </c>
      <c r="C23" s="981" t="s">
        <v>64</v>
      </c>
      <c r="D23" s="981" t="s">
        <v>375</v>
      </c>
      <c r="E23" s="981" t="s">
        <v>175</v>
      </c>
      <c r="F23" s="981" t="s">
        <v>413</v>
      </c>
    </row>
    <row r="24" spans="1:6" x14ac:dyDescent="0.25">
      <c r="A24" s="981" t="s">
        <v>48</v>
      </c>
      <c r="B24" s="981" t="s">
        <v>292</v>
      </c>
      <c r="C24" s="981" t="s">
        <v>74</v>
      </c>
      <c r="D24" s="981" t="s">
        <v>390</v>
      </c>
      <c r="E24" s="981" t="s">
        <v>175</v>
      </c>
      <c r="F24" s="981" t="s">
        <v>413</v>
      </c>
    </row>
    <row r="25" spans="1:6" x14ac:dyDescent="0.25">
      <c r="A25" s="981" t="s">
        <v>49</v>
      </c>
      <c r="B25" s="981" t="s">
        <v>298</v>
      </c>
      <c r="C25" s="981" t="s">
        <v>68</v>
      </c>
      <c r="D25" s="981" t="s">
        <v>379</v>
      </c>
      <c r="E25" s="981" t="s">
        <v>176</v>
      </c>
      <c r="F25" s="981" t="s">
        <v>412</v>
      </c>
    </row>
    <row r="26" spans="1:6" x14ac:dyDescent="0.25">
      <c r="A26" s="981" t="s">
        <v>50</v>
      </c>
      <c r="B26" s="981" t="s">
        <v>315</v>
      </c>
      <c r="C26" s="981" t="s">
        <v>50</v>
      </c>
      <c r="D26" s="981" t="s">
        <v>387</v>
      </c>
      <c r="E26" s="981" t="s">
        <v>176</v>
      </c>
      <c r="F26" s="981" t="s">
        <v>412</v>
      </c>
    </row>
    <row r="27" spans="1:6" x14ac:dyDescent="0.25">
      <c r="A27" s="981" t="s">
        <v>51</v>
      </c>
      <c r="B27" s="981" t="s">
        <v>299</v>
      </c>
      <c r="C27" s="981" t="s">
        <v>74</v>
      </c>
      <c r="D27" s="981" t="s">
        <v>390</v>
      </c>
      <c r="E27" s="981" t="s">
        <v>175</v>
      </c>
      <c r="F27" s="981" t="s">
        <v>413</v>
      </c>
    </row>
    <row r="28" spans="1:6" x14ac:dyDescent="0.25">
      <c r="A28" s="981" t="s">
        <v>52</v>
      </c>
      <c r="B28" s="981" t="s">
        <v>300</v>
      </c>
      <c r="C28" s="981" t="s">
        <v>67</v>
      </c>
      <c r="D28" s="981" t="s">
        <v>376</v>
      </c>
      <c r="E28" s="981" t="s">
        <v>175</v>
      </c>
      <c r="F28" s="981" t="s">
        <v>413</v>
      </c>
    </row>
    <row r="29" spans="1:6" x14ac:dyDescent="0.25">
      <c r="A29" s="981" t="s">
        <v>53</v>
      </c>
      <c r="B29" s="981" t="s">
        <v>310</v>
      </c>
      <c r="C29" s="981" t="s">
        <v>70</v>
      </c>
      <c r="D29" s="981" t="s">
        <v>381</v>
      </c>
      <c r="E29" s="981" t="s">
        <v>176</v>
      </c>
      <c r="F29" s="981" t="s">
        <v>412</v>
      </c>
    </row>
    <row r="30" spans="1:6" x14ac:dyDescent="0.25">
      <c r="A30" s="981" t="s">
        <v>54</v>
      </c>
      <c r="B30" s="981" t="s">
        <v>301</v>
      </c>
      <c r="C30" s="981" t="s">
        <v>69</v>
      </c>
      <c r="D30" s="981" t="s">
        <v>380</v>
      </c>
      <c r="E30" s="981" t="s">
        <v>177</v>
      </c>
      <c r="F30" s="981" t="s">
        <v>411</v>
      </c>
    </row>
    <row r="31" spans="1:6" x14ac:dyDescent="0.25">
      <c r="A31" s="981" t="s">
        <v>55</v>
      </c>
      <c r="B31" s="981" t="s">
        <v>302</v>
      </c>
      <c r="C31" s="981" t="s">
        <v>74</v>
      </c>
      <c r="D31" s="981" t="s">
        <v>390</v>
      </c>
      <c r="E31" s="981" t="s">
        <v>175</v>
      </c>
      <c r="F31" s="981" t="s">
        <v>413</v>
      </c>
    </row>
    <row r="32" spans="1:6" x14ac:dyDescent="0.25">
      <c r="A32" s="981" t="s">
        <v>56</v>
      </c>
      <c r="B32" s="981" t="s">
        <v>303</v>
      </c>
      <c r="C32" s="981" t="s">
        <v>68</v>
      </c>
      <c r="D32" s="981" t="s">
        <v>379</v>
      </c>
      <c r="E32" s="981" t="s">
        <v>176</v>
      </c>
      <c r="F32" s="981" t="s">
        <v>412</v>
      </c>
    </row>
    <row r="33" spans="1:6" x14ac:dyDescent="0.25">
      <c r="A33" s="981" t="s">
        <v>57</v>
      </c>
      <c r="B33" s="981" t="s">
        <v>304</v>
      </c>
      <c r="C33" s="981" t="s">
        <v>57</v>
      </c>
      <c r="D33" s="981" t="s">
        <v>388</v>
      </c>
      <c r="E33" s="981" t="s">
        <v>176</v>
      </c>
      <c r="F33" s="981" t="s">
        <v>412</v>
      </c>
    </row>
    <row r="34" spans="1:6" x14ac:dyDescent="0.25">
      <c r="A34" s="981" t="s">
        <v>58</v>
      </c>
      <c r="B34" s="981" t="s">
        <v>305</v>
      </c>
      <c r="C34" s="981" t="s">
        <v>73</v>
      </c>
      <c r="D34" s="981" t="s">
        <v>389</v>
      </c>
      <c r="E34" s="981" t="s">
        <v>177</v>
      </c>
      <c r="F34" s="981" t="s">
        <v>411</v>
      </c>
    </row>
    <row r="35" spans="1:6" x14ac:dyDescent="0.25">
      <c r="A35" s="981" t="s">
        <v>59</v>
      </c>
      <c r="B35" s="981" t="s">
        <v>311</v>
      </c>
      <c r="C35" s="981" t="s">
        <v>65</v>
      </c>
      <c r="D35" s="981" t="s">
        <v>377</v>
      </c>
      <c r="E35" s="981" t="s">
        <v>176</v>
      </c>
      <c r="F35" s="981" t="s">
        <v>412</v>
      </c>
    </row>
    <row r="36" spans="1:6" x14ac:dyDescent="0.25">
      <c r="A36" s="981" t="s">
        <v>60</v>
      </c>
      <c r="B36" s="981" t="s">
        <v>312</v>
      </c>
      <c r="C36" s="981" t="s">
        <v>71</v>
      </c>
      <c r="D36" s="981" t="s">
        <v>383</v>
      </c>
      <c r="E36" s="981" t="s">
        <v>177</v>
      </c>
      <c r="F36" s="981" t="s">
        <v>411</v>
      </c>
    </row>
  </sheetData>
  <pageMargins left="0.7" right="0.7" top="0.75" bottom="0.75" header="0.3" footer="0.3"/>
  <pageSetup paperSize="9" fitToHeight="50"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3"/>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1" spans="1:6" ht="15.75" x14ac:dyDescent="0.25">
      <c r="A1" s="982" t="s">
        <v>887</v>
      </c>
    </row>
    <row r="2" spans="1:6" x14ac:dyDescent="0.25">
      <c r="A2" s="1047">
        <v>43700</v>
      </c>
      <c r="B2" s="1048"/>
    </row>
    <row r="4" spans="1:6" x14ac:dyDescent="0.25">
      <c r="A4" s="980" t="s">
        <v>249</v>
      </c>
      <c r="B4" s="980" t="s">
        <v>321</v>
      </c>
      <c r="C4" s="980" t="s">
        <v>9</v>
      </c>
      <c r="D4" s="980" t="s">
        <v>2</v>
      </c>
      <c r="E4" s="980" t="s">
        <v>3</v>
      </c>
      <c r="F4" s="980" t="s">
        <v>320</v>
      </c>
    </row>
    <row r="5" spans="1:6" x14ac:dyDescent="0.25">
      <c r="A5" s="981" t="s">
        <v>330</v>
      </c>
      <c r="B5" s="981">
        <v>4159</v>
      </c>
      <c r="C5" s="981">
        <v>3052</v>
      </c>
      <c r="D5" s="981">
        <v>234</v>
      </c>
      <c r="E5" s="981">
        <v>1136</v>
      </c>
      <c r="F5" s="981">
        <v>459</v>
      </c>
    </row>
    <row r="6" spans="1:6" x14ac:dyDescent="0.25">
      <c r="A6" s="981" t="s">
        <v>208</v>
      </c>
      <c r="B6" s="981">
        <v>4151</v>
      </c>
      <c r="C6" s="981">
        <v>3076</v>
      </c>
      <c r="D6" s="981">
        <v>234</v>
      </c>
      <c r="E6" s="981">
        <v>1086</v>
      </c>
      <c r="F6" s="981">
        <v>417</v>
      </c>
    </row>
    <row r="7" spans="1:6" x14ac:dyDescent="0.25">
      <c r="A7" s="981" t="s">
        <v>207</v>
      </c>
      <c r="B7" s="981">
        <v>4001</v>
      </c>
      <c r="C7" s="981">
        <v>2940</v>
      </c>
      <c r="D7" s="981">
        <v>223</v>
      </c>
      <c r="E7" s="981">
        <v>961</v>
      </c>
      <c r="F7" s="981">
        <v>359</v>
      </c>
    </row>
    <row r="8" spans="1:6" x14ac:dyDescent="0.25">
      <c r="A8" s="981" t="s">
        <v>206</v>
      </c>
      <c r="B8" s="981">
        <v>3856</v>
      </c>
      <c r="C8" s="981">
        <v>2950</v>
      </c>
      <c r="D8" s="981">
        <v>230</v>
      </c>
      <c r="E8" s="981">
        <v>867</v>
      </c>
      <c r="F8" s="981">
        <v>378</v>
      </c>
    </row>
    <row r="9" spans="1:6" x14ac:dyDescent="0.25">
      <c r="A9" s="981" t="s">
        <v>205</v>
      </c>
      <c r="B9" s="981">
        <v>3690</v>
      </c>
      <c r="C9" s="981">
        <v>2870</v>
      </c>
      <c r="D9" s="981">
        <v>203</v>
      </c>
      <c r="E9" s="981">
        <v>828</v>
      </c>
      <c r="F9" s="981">
        <v>342</v>
      </c>
    </row>
    <row r="10" spans="1:6" x14ac:dyDescent="0.25">
      <c r="A10" s="981" t="s">
        <v>278</v>
      </c>
      <c r="B10" s="981">
        <v>3645</v>
      </c>
      <c r="C10" s="981">
        <v>2870</v>
      </c>
      <c r="D10" s="981">
        <v>165</v>
      </c>
      <c r="E10" s="981">
        <v>838</v>
      </c>
      <c r="F10" s="981">
        <v>316</v>
      </c>
    </row>
    <row r="11" spans="1:6" x14ac:dyDescent="0.25">
      <c r="A11" s="981" t="s">
        <v>259</v>
      </c>
      <c r="B11" s="981">
        <v>3546</v>
      </c>
      <c r="C11" s="981">
        <v>2863</v>
      </c>
      <c r="D11" s="981">
        <v>189</v>
      </c>
      <c r="E11" s="981">
        <v>846</v>
      </c>
      <c r="F11" s="981">
        <v>332</v>
      </c>
    </row>
    <row r="12" spans="1:6" x14ac:dyDescent="0.25">
      <c r="A12" s="981" t="s">
        <v>258</v>
      </c>
      <c r="B12" s="981">
        <v>3637</v>
      </c>
      <c r="C12" s="981">
        <v>2953</v>
      </c>
      <c r="D12" s="981">
        <v>207</v>
      </c>
      <c r="E12" s="981">
        <v>792</v>
      </c>
      <c r="F12" s="981">
        <v>317</v>
      </c>
    </row>
    <row r="15" spans="1:6" x14ac:dyDescent="0.25">
      <c r="A15" s="983" t="s">
        <v>249</v>
      </c>
      <c r="B15" s="983" t="s">
        <v>321</v>
      </c>
      <c r="C15" s="983" t="s">
        <v>9</v>
      </c>
      <c r="D15" s="983" t="s">
        <v>2</v>
      </c>
      <c r="E15" s="983" t="s">
        <v>3</v>
      </c>
    </row>
    <row r="16" spans="1:6" x14ac:dyDescent="0.25">
      <c r="A16" s="981" t="s">
        <v>330</v>
      </c>
      <c r="B16" s="981">
        <v>4159</v>
      </c>
      <c r="C16" s="981">
        <v>2813</v>
      </c>
      <c r="D16" s="981">
        <v>225</v>
      </c>
      <c r="E16" s="981">
        <v>961</v>
      </c>
    </row>
    <row r="17" spans="1:5" x14ac:dyDescent="0.25">
      <c r="A17" s="981" t="s">
        <v>208</v>
      </c>
      <c r="B17" s="981">
        <v>4151</v>
      </c>
      <c r="C17" s="981">
        <v>2787</v>
      </c>
      <c r="D17" s="981">
        <v>224</v>
      </c>
      <c r="E17" s="981">
        <v>927</v>
      </c>
    </row>
    <row r="18" spans="1:5" x14ac:dyDescent="0.25">
      <c r="A18" s="981" t="s">
        <v>207</v>
      </c>
      <c r="B18" s="981">
        <v>4001</v>
      </c>
      <c r="C18" s="981">
        <v>2665</v>
      </c>
      <c r="D18" s="981">
        <v>213</v>
      </c>
      <c r="E18" s="981">
        <v>811</v>
      </c>
    </row>
    <row r="19" spans="1:5" x14ac:dyDescent="0.25">
      <c r="A19" s="981" t="s">
        <v>206</v>
      </c>
      <c r="B19" s="981">
        <v>3856</v>
      </c>
      <c r="C19" s="981">
        <v>2669</v>
      </c>
      <c r="D19" s="981">
        <v>221</v>
      </c>
      <c r="E19" s="981">
        <v>744</v>
      </c>
    </row>
    <row r="20" spans="1:5" x14ac:dyDescent="0.25">
      <c r="A20" s="981" t="s">
        <v>205</v>
      </c>
      <c r="B20" s="981">
        <v>3690</v>
      </c>
      <c r="C20" s="981">
        <v>2527</v>
      </c>
      <c r="D20" s="981">
        <v>195</v>
      </c>
      <c r="E20" s="981">
        <v>719</v>
      </c>
    </row>
    <row r="21" spans="1:5" x14ac:dyDescent="0.25">
      <c r="A21" s="981" t="s">
        <v>278</v>
      </c>
      <c r="B21" s="981">
        <v>3644</v>
      </c>
      <c r="C21" s="981">
        <v>2546</v>
      </c>
      <c r="D21" s="981">
        <v>160</v>
      </c>
      <c r="E21" s="981">
        <v>745</v>
      </c>
    </row>
    <row r="22" spans="1:5" x14ac:dyDescent="0.25">
      <c r="A22" s="981" t="s">
        <v>259</v>
      </c>
      <c r="B22" s="981">
        <v>3544</v>
      </c>
      <c r="C22" s="981">
        <v>2545</v>
      </c>
      <c r="D22" s="981">
        <v>184</v>
      </c>
      <c r="E22" s="981">
        <v>759</v>
      </c>
    </row>
    <row r="23" spans="1:5" x14ac:dyDescent="0.25">
      <c r="A23" s="981" t="s">
        <v>258</v>
      </c>
      <c r="B23" s="981">
        <v>3636</v>
      </c>
      <c r="C23" s="981">
        <v>2611</v>
      </c>
      <c r="D23" s="981">
        <v>202</v>
      </c>
      <c r="E23" s="981">
        <v>746</v>
      </c>
    </row>
  </sheetData>
  <mergeCells count="1">
    <mergeCell ref="A2:B2"/>
  </mergeCells>
  <pageMargins left="0.7" right="0.7" top="0.75" bottom="0.75" header="0.3" footer="0.3"/>
  <pageSetup paperSize="9" fitToHeight="50"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4:F12"/>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6" x14ac:dyDescent="0.25">
      <c r="A4" s="980" t="s">
        <v>249</v>
      </c>
      <c r="B4" s="980" t="s">
        <v>888</v>
      </c>
      <c r="C4" s="980" t="s">
        <v>889</v>
      </c>
      <c r="D4" s="980" t="s">
        <v>890</v>
      </c>
      <c r="E4" s="980" t="s">
        <v>891</v>
      </c>
      <c r="F4" s="980" t="s">
        <v>892</v>
      </c>
    </row>
    <row r="5" spans="1:6" x14ac:dyDescent="0.25">
      <c r="A5" s="981" t="s">
        <v>330</v>
      </c>
      <c r="B5" s="981">
        <v>784.7</v>
      </c>
      <c r="C5" s="981">
        <v>575.9</v>
      </c>
      <c r="D5" s="981">
        <v>44.2</v>
      </c>
      <c r="E5" s="981">
        <v>214.3</v>
      </c>
      <c r="F5" s="981">
        <v>86.6</v>
      </c>
    </row>
    <row r="6" spans="1:6" x14ac:dyDescent="0.25">
      <c r="A6" s="981" t="s">
        <v>208</v>
      </c>
      <c r="B6" s="981">
        <v>781.2</v>
      </c>
      <c r="C6" s="981">
        <v>578.9</v>
      </c>
      <c r="D6" s="981">
        <v>44</v>
      </c>
      <c r="E6" s="981">
        <v>204.4</v>
      </c>
      <c r="F6" s="981">
        <v>78.5</v>
      </c>
    </row>
    <row r="7" spans="1:6" x14ac:dyDescent="0.25">
      <c r="A7" s="981" t="s">
        <v>207</v>
      </c>
      <c r="B7" s="981">
        <v>751</v>
      </c>
      <c r="C7" s="981">
        <v>551.79999999999995</v>
      </c>
      <c r="D7" s="981">
        <v>41.9</v>
      </c>
      <c r="E7" s="981">
        <v>180.4</v>
      </c>
      <c r="F7" s="981">
        <v>67.400000000000006</v>
      </c>
    </row>
    <row r="8" spans="1:6" x14ac:dyDescent="0.25">
      <c r="A8" s="981" t="s">
        <v>206</v>
      </c>
      <c r="B8" s="981">
        <v>721.1</v>
      </c>
      <c r="C8" s="981">
        <v>551.6</v>
      </c>
      <c r="D8" s="981">
        <v>43</v>
      </c>
      <c r="E8" s="981">
        <v>162.1</v>
      </c>
      <c r="F8" s="981">
        <v>70.7</v>
      </c>
    </row>
    <row r="9" spans="1:6" x14ac:dyDescent="0.25">
      <c r="A9" s="981" t="s">
        <v>205</v>
      </c>
      <c r="B9" s="981">
        <v>686.8</v>
      </c>
      <c r="C9" s="981">
        <v>534.20000000000005</v>
      </c>
      <c r="D9" s="981">
        <v>37.799999999999997</v>
      </c>
      <c r="E9" s="981">
        <v>154.1</v>
      </c>
      <c r="F9" s="981">
        <v>63.7</v>
      </c>
    </row>
    <row r="10" spans="1:6" x14ac:dyDescent="0.25">
      <c r="A10" s="981" t="s">
        <v>278</v>
      </c>
      <c r="B10" s="981">
        <v>674.4</v>
      </c>
      <c r="C10" s="981">
        <v>531</v>
      </c>
      <c r="D10" s="981">
        <v>30.5</v>
      </c>
      <c r="E10" s="981">
        <v>155.1</v>
      </c>
      <c r="F10" s="981">
        <v>58.5</v>
      </c>
    </row>
    <row r="11" spans="1:6" x14ac:dyDescent="0.25">
      <c r="A11" s="981" t="s">
        <v>259</v>
      </c>
      <c r="B11" s="981">
        <v>653.70000000000005</v>
      </c>
      <c r="C11" s="981">
        <v>527.79999999999995</v>
      </c>
      <c r="D11" s="981">
        <v>34.799999999999997</v>
      </c>
      <c r="E11" s="981">
        <v>156</v>
      </c>
      <c r="F11" s="981">
        <v>61.2</v>
      </c>
    </row>
    <row r="12" spans="1:6" x14ac:dyDescent="0.25">
      <c r="A12" s="981" t="s">
        <v>258</v>
      </c>
      <c r="B12" s="981">
        <v>668.8</v>
      </c>
      <c r="C12" s="981">
        <v>543</v>
      </c>
      <c r="D12" s="981">
        <v>38.1</v>
      </c>
      <c r="E12" s="981">
        <v>145.6</v>
      </c>
      <c r="F12" s="981">
        <v>58.3</v>
      </c>
    </row>
  </sheetData>
  <pageMargins left="0.7" right="0.7" top="0.75" bottom="0.75" header="0.3" footer="0.3"/>
  <pageSetup paperSize="9" fitToHeight="5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4:A26"/>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1" x14ac:dyDescent="0.25">
      <c r="A4" s="980" t="s">
        <v>893</v>
      </c>
    </row>
    <row r="5" spans="1:1" x14ac:dyDescent="0.25">
      <c r="A5" s="981"/>
    </row>
    <row r="25" spans="1:1" x14ac:dyDescent="0.25">
      <c r="A25" s="983" t="s">
        <v>893</v>
      </c>
    </row>
    <row r="26" spans="1:1" x14ac:dyDescent="0.25">
      <c r="A26" s="981"/>
    </row>
  </sheetData>
  <pageMargins left="0.7" right="0.7" top="0.75" bottom="0.75" header="0.3" footer="0.3"/>
  <pageSetup paperSize="9" fitToHeight="5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H28"/>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1" spans="1:8" ht="15.75" x14ac:dyDescent="0.25">
      <c r="A1" s="982" t="s">
        <v>895</v>
      </c>
    </row>
    <row r="2" spans="1:8" x14ac:dyDescent="0.25">
      <c r="A2" s="1047">
        <v>43700</v>
      </c>
      <c r="B2" s="1048"/>
    </row>
    <row r="4" spans="1:8" x14ac:dyDescent="0.25">
      <c r="A4" s="980" t="s">
        <v>249</v>
      </c>
      <c r="B4" s="980" t="s">
        <v>894</v>
      </c>
      <c r="C4" s="980" t="s">
        <v>26</v>
      </c>
      <c r="D4" s="980" t="s">
        <v>2</v>
      </c>
      <c r="E4" s="980" t="s">
        <v>9</v>
      </c>
      <c r="F4" s="980" t="s">
        <v>3</v>
      </c>
      <c r="G4" s="980" t="s">
        <v>320</v>
      </c>
      <c r="H4" s="980" t="s">
        <v>321</v>
      </c>
    </row>
    <row r="5" spans="1:8" x14ac:dyDescent="0.25">
      <c r="A5" s="981" t="s">
        <v>207</v>
      </c>
      <c r="B5" s="981" t="s">
        <v>251</v>
      </c>
      <c r="C5" s="981">
        <v>6691</v>
      </c>
      <c r="D5" s="981"/>
      <c r="E5" s="981">
        <v>2940</v>
      </c>
      <c r="F5" s="981"/>
      <c r="G5" s="981">
        <v>359</v>
      </c>
      <c r="H5" s="981">
        <v>3392</v>
      </c>
    </row>
    <row r="6" spans="1:8" x14ac:dyDescent="0.25">
      <c r="A6" s="981" t="s">
        <v>207</v>
      </c>
      <c r="B6" s="981" t="s">
        <v>252</v>
      </c>
      <c r="C6" s="981">
        <v>285</v>
      </c>
      <c r="D6" s="981"/>
      <c r="E6" s="981"/>
      <c r="F6" s="981"/>
      <c r="G6" s="981"/>
      <c r="H6" s="981">
        <v>285</v>
      </c>
    </row>
    <row r="7" spans="1:8" x14ac:dyDescent="0.25">
      <c r="A7" s="981" t="s">
        <v>207</v>
      </c>
      <c r="B7" s="981" t="s">
        <v>253</v>
      </c>
      <c r="C7" s="981">
        <v>992</v>
      </c>
      <c r="D7" s="981"/>
      <c r="E7" s="981"/>
      <c r="F7" s="981">
        <v>724</v>
      </c>
      <c r="G7" s="981"/>
      <c r="H7" s="981">
        <v>268</v>
      </c>
    </row>
    <row r="8" spans="1:8" x14ac:dyDescent="0.25">
      <c r="A8" s="981" t="s">
        <v>207</v>
      </c>
      <c r="B8" s="981" t="s">
        <v>254</v>
      </c>
      <c r="C8" s="981">
        <v>516</v>
      </c>
      <c r="D8" s="981">
        <v>223</v>
      </c>
      <c r="E8" s="981"/>
      <c r="F8" s="981">
        <v>237</v>
      </c>
      <c r="G8" s="981"/>
      <c r="H8" s="981">
        <v>56</v>
      </c>
    </row>
    <row r="9" spans="1:8" x14ac:dyDescent="0.25">
      <c r="A9" s="981" t="s">
        <v>206</v>
      </c>
      <c r="B9" s="981" t="s">
        <v>251</v>
      </c>
      <c r="C9" s="981">
        <v>6613</v>
      </c>
      <c r="D9" s="981"/>
      <c r="E9" s="981">
        <v>2950</v>
      </c>
      <c r="F9" s="981"/>
      <c r="G9" s="981">
        <v>378</v>
      </c>
      <c r="H9" s="981">
        <v>3285</v>
      </c>
    </row>
    <row r="10" spans="1:8" x14ac:dyDescent="0.25">
      <c r="A10" s="981" t="s">
        <v>206</v>
      </c>
      <c r="B10" s="981" t="s">
        <v>252</v>
      </c>
      <c r="C10" s="981">
        <v>270</v>
      </c>
      <c r="D10" s="981"/>
      <c r="E10" s="981"/>
      <c r="F10" s="981"/>
      <c r="G10" s="981"/>
      <c r="H10" s="981">
        <v>270</v>
      </c>
    </row>
    <row r="11" spans="1:8" x14ac:dyDescent="0.25">
      <c r="A11" s="981" t="s">
        <v>206</v>
      </c>
      <c r="B11" s="981" t="s">
        <v>253</v>
      </c>
      <c r="C11" s="981">
        <v>880</v>
      </c>
      <c r="D11" s="981"/>
      <c r="E11" s="981"/>
      <c r="F11" s="981">
        <v>629</v>
      </c>
      <c r="G11" s="981"/>
      <c r="H11" s="981">
        <v>251</v>
      </c>
    </row>
    <row r="12" spans="1:8" x14ac:dyDescent="0.25">
      <c r="A12" s="981" t="s">
        <v>206</v>
      </c>
      <c r="B12" s="981" t="s">
        <v>254</v>
      </c>
      <c r="C12" s="981">
        <v>518</v>
      </c>
      <c r="D12" s="981">
        <v>230</v>
      </c>
      <c r="E12" s="981"/>
      <c r="F12" s="981">
        <v>238</v>
      </c>
      <c r="G12" s="981"/>
      <c r="H12" s="981">
        <v>50</v>
      </c>
    </row>
    <row r="13" spans="1:8" x14ac:dyDescent="0.25">
      <c r="A13" s="981" t="s">
        <v>205</v>
      </c>
      <c r="B13" s="981" t="s">
        <v>251</v>
      </c>
      <c r="C13" s="981">
        <v>6237</v>
      </c>
      <c r="D13" s="981"/>
      <c r="E13" s="981">
        <v>2870</v>
      </c>
      <c r="F13" s="981"/>
      <c r="G13" s="981">
        <v>342</v>
      </c>
      <c r="H13" s="981">
        <v>3025</v>
      </c>
    </row>
    <row r="14" spans="1:8" x14ac:dyDescent="0.25">
      <c r="A14" s="981" t="s">
        <v>205</v>
      </c>
      <c r="B14" s="981" t="s">
        <v>252</v>
      </c>
      <c r="C14" s="981">
        <v>385</v>
      </c>
      <c r="D14" s="981"/>
      <c r="E14" s="981"/>
      <c r="F14" s="981"/>
      <c r="G14" s="981"/>
      <c r="H14" s="981">
        <v>385</v>
      </c>
    </row>
    <row r="15" spans="1:8" x14ac:dyDescent="0.25">
      <c r="A15" s="981" t="s">
        <v>205</v>
      </c>
      <c r="B15" s="981" t="s">
        <v>253</v>
      </c>
      <c r="C15" s="981">
        <v>616</v>
      </c>
      <c r="D15" s="981"/>
      <c r="E15" s="981"/>
      <c r="F15" s="981">
        <v>531</v>
      </c>
      <c r="G15" s="981"/>
      <c r="H15" s="981">
        <v>85</v>
      </c>
    </row>
    <row r="16" spans="1:8" x14ac:dyDescent="0.25">
      <c r="A16" s="981" t="s">
        <v>205</v>
      </c>
      <c r="B16" s="981" t="s">
        <v>254</v>
      </c>
      <c r="C16" s="981">
        <v>695</v>
      </c>
      <c r="D16" s="981">
        <v>203</v>
      </c>
      <c r="E16" s="981"/>
      <c r="F16" s="981">
        <v>297</v>
      </c>
      <c r="G16" s="981"/>
      <c r="H16" s="981">
        <v>195</v>
      </c>
    </row>
    <row r="17" spans="1:8" x14ac:dyDescent="0.25">
      <c r="A17" s="981" t="s">
        <v>278</v>
      </c>
      <c r="B17" s="981" t="s">
        <v>251</v>
      </c>
      <c r="C17" s="981">
        <v>6109</v>
      </c>
      <c r="D17" s="981"/>
      <c r="E17" s="981">
        <v>2870</v>
      </c>
      <c r="F17" s="981"/>
      <c r="G17" s="981">
        <v>316</v>
      </c>
      <c r="H17" s="981">
        <v>2923</v>
      </c>
    </row>
    <row r="18" spans="1:8" x14ac:dyDescent="0.25">
      <c r="A18" s="981" t="s">
        <v>278</v>
      </c>
      <c r="B18" s="981" t="s">
        <v>252</v>
      </c>
      <c r="C18" s="981">
        <v>389</v>
      </c>
      <c r="D18" s="981"/>
      <c r="E18" s="981"/>
      <c r="F18" s="981"/>
      <c r="G18" s="981"/>
      <c r="H18" s="981">
        <v>389</v>
      </c>
    </row>
    <row r="19" spans="1:8" x14ac:dyDescent="0.25">
      <c r="A19" s="981" t="s">
        <v>278</v>
      </c>
      <c r="B19" s="981" t="s">
        <v>253</v>
      </c>
      <c r="C19" s="981">
        <v>722</v>
      </c>
      <c r="D19" s="981"/>
      <c r="E19" s="981"/>
      <c r="F19" s="981">
        <v>571</v>
      </c>
      <c r="G19" s="981"/>
      <c r="H19" s="981">
        <v>151</v>
      </c>
    </row>
    <row r="20" spans="1:8" x14ac:dyDescent="0.25">
      <c r="A20" s="981" t="s">
        <v>278</v>
      </c>
      <c r="B20" s="981" t="s">
        <v>254</v>
      </c>
      <c r="C20" s="981">
        <v>614</v>
      </c>
      <c r="D20" s="981">
        <v>165</v>
      </c>
      <c r="E20" s="981"/>
      <c r="F20" s="981">
        <v>267</v>
      </c>
      <c r="G20" s="981"/>
      <c r="H20" s="981">
        <v>182</v>
      </c>
    </row>
    <row r="21" spans="1:8" x14ac:dyDescent="0.25">
      <c r="A21" s="981" t="s">
        <v>259</v>
      </c>
      <c r="B21" s="981" t="s">
        <v>251</v>
      </c>
      <c r="C21" s="981">
        <v>6063</v>
      </c>
      <c r="D21" s="981"/>
      <c r="E21" s="981">
        <v>2863</v>
      </c>
      <c r="F21" s="981"/>
      <c r="G21" s="981">
        <v>332</v>
      </c>
      <c r="H21" s="981">
        <v>2868</v>
      </c>
    </row>
    <row r="22" spans="1:8" x14ac:dyDescent="0.25">
      <c r="A22" s="981" t="s">
        <v>259</v>
      </c>
      <c r="B22" s="981" t="s">
        <v>252</v>
      </c>
      <c r="C22" s="981">
        <v>379</v>
      </c>
      <c r="D22" s="981"/>
      <c r="E22" s="981"/>
      <c r="F22" s="981"/>
      <c r="G22" s="981"/>
      <c r="H22" s="981">
        <v>379</v>
      </c>
    </row>
    <row r="23" spans="1:8" x14ac:dyDescent="0.25">
      <c r="A23" s="981" t="s">
        <v>259</v>
      </c>
      <c r="B23" s="981" t="s">
        <v>253</v>
      </c>
      <c r="C23" s="981">
        <v>725</v>
      </c>
      <c r="D23" s="981"/>
      <c r="E23" s="981"/>
      <c r="F23" s="981">
        <v>569</v>
      </c>
      <c r="G23" s="981"/>
      <c r="H23" s="981">
        <v>156</v>
      </c>
    </row>
    <row r="24" spans="1:8" x14ac:dyDescent="0.25">
      <c r="A24" s="981" t="s">
        <v>259</v>
      </c>
      <c r="B24" s="981" t="s">
        <v>254</v>
      </c>
      <c r="C24" s="981">
        <v>609</v>
      </c>
      <c r="D24" s="981">
        <v>189</v>
      </c>
      <c r="E24" s="981"/>
      <c r="F24" s="981">
        <v>277</v>
      </c>
      <c r="G24" s="981"/>
      <c r="H24" s="981">
        <v>143</v>
      </c>
    </row>
    <row r="25" spans="1:8" x14ac:dyDescent="0.25">
      <c r="A25" s="981" t="s">
        <v>258</v>
      </c>
      <c r="B25" s="981" t="s">
        <v>251</v>
      </c>
      <c r="C25" s="981">
        <v>6224</v>
      </c>
      <c r="D25" s="981"/>
      <c r="E25" s="981">
        <v>2953</v>
      </c>
      <c r="F25" s="981"/>
      <c r="G25" s="981">
        <v>317</v>
      </c>
      <c r="H25" s="981">
        <v>2954</v>
      </c>
    </row>
    <row r="26" spans="1:8" x14ac:dyDescent="0.25">
      <c r="A26" s="981" t="s">
        <v>258</v>
      </c>
      <c r="B26" s="981" t="s">
        <v>252</v>
      </c>
      <c r="C26" s="981">
        <v>388</v>
      </c>
      <c r="D26" s="981"/>
      <c r="E26" s="981"/>
      <c r="F26" s="981"/>
      <c r="G26" s="981"/>
      <c r="H26" s="981">
        <v>388</v>
      </c>
    </row>
    <row r="27" spans="1:8" x14ac:dyDescent="0.25">
      <c r="A27" s="981" t="s">
        <v>258</v>
      </c>
      <c r="B27" s="981" t="s">
        <v>253</v>
      </c>
      <c r="C27" s="981">
        <v>635</v>
      </c>
      <c r="D27" s="981"/>
      <c r="E27" s="981"/>
      <c r="F27" s="981">
        <v>489</v>
      </c>
      <c r="G27" s="981"/>
      <c r="H27" s="981">
        <v>146</v>
      </c>
    </row>
    <row r="28" spans="1:8" x14ac:dyDescent="0.25">
      <c r="A28" s="981" t="s">
        <v>258</v>
      </c>
      <c r="B28" s="981" t="s">
        <v>254</v>
      </c>
      <c r="C28" s="981">
        <v>659</v>
      </c>
      <c r="D28" s="981">
        <v>207</v>
      </c>
      <c r="E28" s="981"/>
      <c r="F28" s="981">
        <v>303</v>
      </c>
      <c r="G28" s="981"/>
      <c r="H28" s="981">
        <v>149</v>
      </c>
    </row>
  </sheetData>
  <mergeCells count="1">
    <mergeCell ref="A2:B2"/>
  </mergeCells>
  <pageMargins left="0.7" right="0.7" top="0.75" bottom="0.75" header="0.3" footer="0.3"/>
  <pageSetup paperSize="9" fitToHeight="5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J28"/>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1" spans="1:10" ht="15.75" x14ac:dyDescent="0.25">
      <c r="A1" s="982" t="s">
        <v>896</v>
      </c>
    </row>
    <row r="2" spans="1:10" x14ac:dyDescent="0.25">
      <c r="A2" s="1047">
        <v>43700</v>
      </c>
      <c r="B2" s="1048"/>
    </row>
    <row r="4" spans="1:10" x14ac:dyDescent="0.25">
      <c r="A4" s="980" t="s">
        <v>249</v>
      </c>
      <c r="B4" s="980" t="s">
        <v>894</v>
      </c>
      <c r="C4" s="980" t="s">
        <v>26</v>
      </c>
      <c r="D4" s="980" t="s">
        <v>18</v>
      </c>
      <c r="E4" s="980" t="s">
        <v>212</v>
      </c>
      <c r="F4" s="980" t="s">
        <v>22</v>
      </c>
      <c r="G4" s="980" t="s">
        <v>23</v>
      </c>
      <c r="H4" s="980" t="s">
        <v>19</v>
      </c>
      <c r="I4" s="980" t="s">
        <v>20</v>
      </c>
      <c r="J4" s="980" t="s">
        <v>21</v>
      </c>
    </row>
    <row r="5" spans="1:10" x14ac:dyDescent="0.25">
      <c r="A5" s="981" t="s">
        <v>207</v>
      </c>
      <c r="B5" s="981" t="s">
        <v>251</v>
      </c>
      <c r="C5" s="981">
        <v>3392</v>
      </c>
      <c r="D5" s="981"/>
      <c r="E5" s="981"/>
      <c r="F5" s="981">
        <v>608</v>
      </c>
      <c r="G5" s="981">
        <v>2355</v>
      </c>
      <c r="H5" s="981"/>
      <c r="I5" s="981">
        <v>13</v>
      </c>
      <c r="J5" s="981">
        <v>416</v>
      </c>
    </row>
    <row r="6" spans="1:10" x14ac:dyDescent="0.25">
      <c r="A6" s="981" t="s">
        <v>207</v>
      </c>
      <c r="B6" s="981" t="s">
        <v>252</v>
      </c>
      <c r="C6" s="981">
        <v>285</v>
      </c>
      <c r="D6" s="981">
        <v>17</v>
      </c>
      <c r="E6" s="981"/>
      <c r="F6" s="981">
        <v>5</v>
      </c>
      <c r="G6" s="981">
        <v>15</v>
      </c>
      <c r="H6" s="981">
        <v>69</v>
      </c>
      <c r="I6" s="981">
        <v>85</v>
      </c>
      <c r="J6" s="981">
        <v>94</v>
      </c>
    </row>
    <row r="7" spans="1:10" x14ac:dyDescent="0.25">
      <c r="A7" s="981" t="s">
        <v>207</v>
      </c>
      <c r="B7" s="981" t="s">
        <v>253</v>
      </c>
      <c r="C7" s="981">
        <v>268</v>
      </c>
      <c r="D7" s="981">
        <v>6</v>
      </c>
      <c r="E7" s="981">
        <v>3</v>
      </c>
      <c r="F7" s="981">
        <v>40</v>
      </c>
      <c r="G7" s="981">
        <v>4</v>
      </c>
      <c r="H7" s="981">
        <v>24</v>
      </c>
      <c r="I7" s="981">
        <v>33</v>
      </c>
      <c r="J7" s="981">
        <v>158</v>
      </c>
    </row>
    <row r="8" spans="1:10" x14ac:dyDescent="0.25">
      <c r="A8" s="981" t="s">
        <v>207</v>
      </c>
      <c r="B8" s="981" t="s">
        <v>254</v>
      </c>
      <c r="C8" s="981">
        <v>56</v>
      </c>
      <c r="D8" s="981">
        <v>5</v>
      </c>
      <c r="E8" s="981">
        <v>6</v>
      </c>
      <c r="F8" s="981">
        <v>7</v>
      </c>
      <c r="G8" s="981"/>
      <c r="H8" s="981">
        <v>22</v>
      </c>
      <c r="I8" s="981">
        <v>5</v>
      </c>
      <c r="J8" s="981">
        <v>11</v>
      </c>
    </row>
    <row r="9" spans="1:10" x14ac:dyDescent="0.25">
      <c r="A9" s="981" t="s">
        <v>206</v>
      </c>
      <c r="B9" s="981" t="s">
        <v>251</v>
      </c>
      <c r="C9" s="981">
        <v>3285</v>
      </c>
      <c r="D9" s="981"/>
      <c r="E9" s="981"/>
      <c r="F9" s="981">
        <v>592</v>
      </c>
      <c r="G9" s="981">
        <v>2263</v>
      </c>
      <c r="H9" s="981"/>
      <c r="I9" s="981">
        <v>14</v>
      </c>
      <c r="J9" s="981">
        <v>416</v>
      </c>
    </row>
    <row r="10" spans="1:10" x14ac:dyDescent="0.25">
      <c r="A10" s="981" t="s">
        <v>206</v>
      </c>
      <c r="B10" s="981" t="s">
        <v>252</v>
      </c>
      <c r="C10" s="981">
        <v>270</v>
      </c>
      <c r="D10" s="981">
        <v>18</v>
      </c>
      <c r="E10" s="981"/>
      <c r="F10" s="981">
        <v>4</v>
      </c>
      <c r="G10" s="981">
        <v>14</v>
      </c>
      <c r="H10" s="981">
        <v>65</v>
      </c>
      <c r="I10" s="981">
        <v>79</v>
      </c>
      <c r="J10" s="981">
        <v>90</v>
      </c>
    </row>
    <row r="11" spans="1:10" x14ac:dyDescent="0.25">
      <c r="A11" s="981" t="s">
        <v>206</v>
      </c>
      <c r="B11" s="981" t="s">
        <v>253</v>
      </c>
      <c r="C11" s="981">
        <v>251</v>
      </c>
      <c r="D11" s="981">
        <v>4</v>
      </c>
      <c r="E11" s="981"/>
      <c r="F11" s="981">
        <v>34</v>
      </c>
      <c r="G11" s="981">
        <v>7</v>
      </c>
      <c r="H11" s="981">
        <v>26</v>
      </c>
      <c r="I11" s="981">
        <v>31</v>
      </c>
      <c r="J11" s="981">
        <v>147</v>
      </c>
    </row>
    <row r="12" spans="1:10" x14ac:dyDescent="0.25">
      <c r="A12" s="981" t="s">
        <v>206</v>
      </c>
      <c r="B12" s="981" t="s">
        <v>254</v>
      </c>
      <c r="C12" s="981">
        <v>50</v>
      </c>
      <c r="D12" s="981">
        <v>11</v>
      </c>
      <c r="E12" s="981">
        <v>7</v>
      </c>
      <c r="F12" s="981">
        <v>4</v>
      </c>
      <c r="G12" s="981">
        <v>1</v>
      </c>
      <c r="H12" s="981">
        <v>12</v>
      </c>
      <c r="I12" s="981">
        <v>6</v>
      </c>
      <c r="J12" s="981">
        <v>11</v>
      </c>
    </row>
    <row r="13" spans="1:10" x14ac:dyDescent="0.25">
      <c r="A13" s="981" t="s">
        <v>205</v>
      </c>
      <c r="B13" s="981" t="s">
        <v>251</v>
      </c>
      <c r="C13" s="981">
        <v>3025</v>
      </c>
      <c r="D13" s="981"/>
      <c r="E13" s="981"/>
      <c r="F13" s="981">
        <v>511</v>
      </c>
      <c r="G13" s="981">
        <v>2207</v>
      </c>
      <c r="H13" s="981"/>
      <c r="I13" s="981">
        <v>2</v>
      </c>
      <c r="J13" s="981">
        <v>305</v>
      </c>
    </row>
    <row r="14" spans="1:10" x14ac:dyDescent="0.25">
      <c r="A14" s="981" t="s">
        <v>205</v>
      </c>
      <c r="B14" s="981" t="s">
        <v>252</v>
      </c>
      <c r="C14" s="981">
        <v>385</v>
      </c>
      <c r="D14" s="981">
        <v>14</v>
      </c>
      <c r="E14" s="981"/>
      <c r="F14" s="981">
        <v>50</v>
      </c>
      <c r="G14" s="981">
        <v>35</v>
      </c>
      <c r="H14" s="981">
        <v>62</v>
      </c>
      <c r="I14" s="981">
        <v>91</v>
      </c>
      <c r="J14" s="981">
        <v>133</v>
      </c>
    </row>
    <row r="15" spans="1:10" x14ac:dyDescent="0.25">
      <c r="A15" s="981" t="s">
        <v>205</v>
      </c>
      <c r="B15" s="981" t="s">
        <v>253</v>
      </c>
      <c r="C15" s="981">
        <v>85</v>
      </c>
      <c r="D15" s="981">
        <v>3</v>
      </c>
      <c r="E15" s="981"/>
      <c r="F15" s="981">
        <v>13</v>
      </c>
      <c r="G15" s="981"/>
      <c r="H15" s="981">
        <v>9</v>
      </c>
      <c r="I15" s="981">
        <v>14</v>
      </c>
      <c r="J15" s="981">
        <v>46</v>
      </c>
    </row>
    <row r="16" spans="1:10" x14ac:dyDescent="0.25">
      <c r="A16" s="981" t="s">
        <v>205</v>
      </c>
      <c r="B16" s="981" t="s">
        <v>254</v>
      </c>
      <c r="C16" s="981">
        <v>195</v>
      </c>
      <c r="D16" s="981">
        <v>18</v>
      </c>
      <c r="E16" s="981">
        <v>4</v>
      </c>
      <c r="F16" s="981">
        <v>26</v>
      </c>
      <c r="G16" s="981">
        <v>16</v>
      </c>
      <c r="H16" s="981">
        <v>19</v>
      </c>
      <c r="I16" s="981">
        <v>19</v>
      </c>
      <c r="J16" s="981">
        <v>93</v>
      </c>
    </row>
    <row r="17" spans="1:10" x14ac:dyDescent="0.25">
      <c r="A17" s="981" t="s">
        <v>278</v>
      </c>
      <c r="B17" s="981" t="s">
        <v>251</v>
      </c>
      <c r="C17" s="981">
        <v>2923</v>
      </c>
      <c r="D17" s="981"/>
      <c r="E17" s="981"/>
      <c r="F17" s="981">
        <v>552</v>
      </c>
      <c r="G17" s="981">
        <v>2027</v>
      </c>
      <c r="H17" s="981"/>
      <c r="I17" s="981">
        <v>1</v>
      </c>
      <c r="J17" s="981">
        <v>343</v>
      </c>
    </row>
    <row r="18" spans="1:10" x14ac:dyDescent="0.25">
      <c r="A18" s="981" t="s">
        <v>278</v>
      </c>
      <c r="B18" s="981" t="s">
        <v>252</v>
      </c>
      <c r="C18" s="981">
        <v>389</v>
      </c>
      <c r="D18" s="981">
        <v>16</v>
      </c>
      <c r="E18" s="981"/>
      <c r="F18" s="981">
        <v>61</v>
      </c>
      <c r="G18" s="981">
        <v>30</v>
      </c>
      <c r="H18" s="981">
        <v>47</v>
      </c>
      <c r="I18" s="981">
        <v>116</v>
      </c>
      <c r="J18" s="981">
        <v>119</v>
      </c>
    </row>
    <row r="19" spans="1:10" x14ac:dyDescent="0.25">
      <c r="A19" s="981" t="s">
        <v>278</v>
      </c>
      <c r="B19" s="981" t="s">
        <v>253</v>
      </c>
      <c r="C19" s="981">
        <v>151</v>
      </c>
      <c r="D19" s="981">
        <v>3</v>
      </c>
      <c r="E19" s="981"/>
      <c r="F19" s="981">
        <v>22</v>
      </c>
      <c r="G19" s="981">
        <v>3</v>
      </c>
      <c r="H19" s="981">
        <v>12</v>
      </c>
      <c r="I19" s="981">
        <v>25</v>
      </c>
      <c r="J19" s="981">
        <v>86</v>
      </c>
    </row>
    <row r="20" spans="1:10" x14ac:dyDescent="0.25">
      <c r="A20" s="981" t="s">
        <v>278</v>
      </c>
      <c r="B20" s="981" t="s">
        <v>254</v>
      </c>
      <c r="C20" s="981">
        <v>182</v>
      </c>
      <c r="D20" s="981">
        <v>15</v>
      </c>
      <c r="E20" s="981">
        <v>4</v>
      </c>
      <c r="F20" s="981"/>
      <c r="G20" s="981">
        <v>101</v>
      </c>
      <c r="H20" s="981">
        <v>11</v>
      </c>
      <c r="I20" s="981">
        <v>9</v>
      </c>
      <c r="J20" s="981">
        <v>42</v>
      </c>
    </row>
    <row r="21" spans="1:10" x14ac:dyDescent="0.25">
      <c r="A21" s="981" t="s">
        <v>259</v>
      </c>
      <c r="B21" s="981" t="s">
        <v>251</v>
      </c>
      <c r="C21" s="981">
        <v>2868</v>
      </c>
      <c r="D21" s="981"/>
      <c r="E21" s="981"/>
      <c r="F21" s="981">
        <v>588</v>
      </c>
      <c r="G21" s="981">
        <v>1905</v>
      </c>
      <c r="H21" s="981"/>
      <c r="I21" s="981"/>
      <c r="J21" s="981">
        <v>375</v>
      </c>
    </row>
    <row r="22" spans="1:10" x14ac:dyDescent="0.25">
      <c r="A22" s="981" t="s">
        <v>259</v>
      </c>
      <c r="B22" s="981" t="s">
        <v>252</v>
      </c>
      <c r="C22" s="981">
        <v>379</v>
      </c>
      <c r="D22" s="981">
        <v>16</v>
      </c>
      <c r="E22" s="981"/>
      <c r="F22" s="981">
        <v>63</v>
      </c>
      <c r="G22" s="981">
        <v>29</v>
      </c>
      <c r="H22" s="981">
        <v>46</v>
      </c>
      <c r="I22" s="981">
        <v>115</v>
      </c>
      <c r="J22" s="981">
        <v>110</v>
      </c>
    </row>
    <row r="23" spans="1:10" x14ac:dyDescent="0.25">
      <c r="A23" s="981" t="s">
        <v>259</v>
      </c>
      <c r="B23" s="981" t="s">
        <v>253</v>
      </c>
      <c r="C23" s="981">
        <v>156</v>
      </c>
      <c r="D23" s="981">
        <v>3</v>
      </c>
      <c r="E23" s="981"/>
      <c r="F23" s="981">
        <v>38</v>
      </c>
      <c r="G23" s="981"/>
      <c r="H23" s="981">
        <v>15</v>
      </c>
      <c r="I23" s="981">
        <v>29</v>
      </c>
      <c r="J23" s="981">
        <v>71</v>
      </c>
    </row>
    <row r="24" spans="1:10" x14ac:dyDescent="0.25">
      <c r="A24" s="981" t="s">
        <v>259</v>
      </c>
      <c r="B24" s="981" t="s">
        <v>254</v>
      </c>
      <c r="C24" s="981">
        <v>143</v>
      </c>
      <c r="D24" s="981">
        <v>15</v>
      </c>
      <c r="E24" s="981">
        <v>4</v>
      </c>
      <c r="F24" s="981"/>
      <c r="G24" s="981">
        <v>55</v>
      </c>
      <c r="H24" s="981">
        <v>13</v>
      </c>
      <c r="I24" s="981">
        <v>9</v>
      </c>
      <c r="J24" s="981">
        <v>47</v>
      </c>
    </row>
    <row r="25" spans="1:10" x14ac:dyDescent="0.25">
      <c r="A25" s="981" t="s">
        <v>258</v>
      </c>
      <c r="B25" s="981" t="s">
        <v>251</v>
      </c>
      <c r="C25" s="981">
        <v>2954</v>
      </c>
      <c r="D25" s="981"/>
      <c r="E25" s="981"/>
      <c r="F25" s="981">
        <v>592</v>
      </c>
      <c r="G25" s="981">
        <v>1985</v>
      </c>
      <c r="H25" s="981"/>
      <c r="I25" s="981"/>
      <c r="J25" s="981">
        <v>377</v>
      </c>
    </row>
    <row r="26" spans="1:10" x14ac:dyDescent="0.25">
      <c r="A26" s="981" t="s">
        <v>258</v>
      </c>
      <c r="B26" s="981" t="s">
        <v>252</v>
      </c>
      <c r="C26" s="981">
        <v>388</v>
      </c>
      <c r="D26" s="981">
        <v>16</v>
      </c>
      <c r="E26" s="981"/>
      <c r="F26" s="981">
        <v>54</v>
      </c>
      <c r="G26" s="981">
        <v>30</v>
      </c>
      <c r="H26" s="981">
        <v>49</v>
      </c>
      <c r="I26" s="981">
        <v>115</v>
      </c>
      <c r="J26" s="981">
        <v>124</v>
      </c>
    </row>
    <row r="27" spans="1:10" x14ac:dyDescent="0.25">
      <c r="A27" s="981" t="s">
        <v>258</v>
      </c>
      <c r="B27" s="981" t="s">
        <v>253</v>
      </c>
      <c r="C27" s="981">
        <v>146</v>
      </c>
      <c r="D27" s="981">
        <v>3</v>
      </c>
      <c r="E27" s="981"/>
      <c r="F27" s="981">
        <v>41</v>
      </c>
      <c r="G27" s="981"/>
      <c r="H27" s="981">
        <v>14</v>
      </c>
      <c r="I27" s="981">
        <v>24</v>
      </c>
      <c r="J27" s="981">
        <v>64</v>
      </c>
    </row>
    <row r="28" spans="1:10" x14ac:dyDescent="0.25">
      <c r="A28" s="981" t="s">
        <v>258</v>
      </c>
      <c r="B28" s="981" t="s">
        <v>254</v>
      </c>
      <c r="C28" s="981">
        <v>149</v>
      </c>
      <c r="D28" s="981">
        <v>14</v>
      </c>
      <c r="E28" s="981">
        <v>4</v>
      </c>
      <c r="F28" s="981"/>
      <c r="G28" s="981">
        <v>60</v>
      </c>
      <c r="H28" s="981">
        <v>17</v>
      </c>
      <c r="I28" s="981">
        <v>8</v>
      </c>
      <c r="J28" s="981">
        <v>46</v>
      </c>
    </row>
  </sheetData>
  <mergeCells count="1">
    <mergeCell ref="A2:B2"/>
  </mergeCells>
  <pageMargins left="0.7" right="0.7" top="0.75" bottom="0.75" header="0.3" footer="0.3"/>
  <pageSetup paperSize="9" fitToHeight="5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J28"/>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1" spans="1:10" ht="15.75" x14ac:dyDescent="0.25">
      <c r="A1" s="982" t="s">
        <v>898</v>
      </c>
    </row>
    <row r="2" spans="1:10" x14ac:dyDescent="0.25">
      <c r="A2" s="1047">
        <v>43700</v>
      </c>
      <c r="B2" s="1048"/>
    </row>
    <row r="4" spans="1:10" x14ac:dyDescent="0.25">
      <c r="A4" s="980" t="s">
        <v>249</v>
      </c>
      <c r="B4" s="980" t="s">
        <v>897</v>
      </c>
      <c r="C4" s="980" t="s">
        <v>26</v>
      </c>
      <c r="D4" s="980" t="s">
        <v>18</v>
      </c>
      <c r="E4" s="980" t="s">
        <v>212</v>
      </c>
      <c r="F4" s="980" t="s">
        <v>22</v>
      </c>
      <c r="G4" s="980" t="s">
        <v>23</v>
      </c>
      <c r="H4" s="980" t="s">
        <v>19</v>
      </c>
      <c r="I4" s="980" t="s">
        <v>20</v>
      </c>
      <c r="J4" s="980" t="s">
        <v>21</v>
      </c>
    </row>
    <row r="5" spans="1:10" x14ac:dyDescent="0.25">
      <c r="A5" s="981" t="s">
        <v>207</v>
      </c>
      <c r="B5" s="981" t="s">
        <v>2</v>
      </c>
      <c r="C5" s="981">
        <v>223</v>
      </c>
      <c r="D5" s="981"/>
      <c r="E5" s="981"/>
      <c r="F5" s="981">
        <v>52</v>
      </c>
      <c r="G5" s="981">
        <v>103</v>
      </c>
      <c r="H5" s="981">
        <v>5</v>
      </c>
      <c r="I5" s="981">
        <v>11</v>
      </c>
      <c r="J5" s="981">
        <v>52</v>
      </c>
    </row>
    <row r="6" spans="1:10" x14ac:dyDescent="0.25">
      <c r="A6" s="981" t="s">
        <v>207</v>
      </c>
      <c r="B6" s="981" t="s">
        <v>9</v>
      </c>
      <c r="C6" s="981">
        <v>2940</v>
      </c>
      <c r="D6" s="981"/>
      <c r="E6" s="981"/>
      <c r="F6" s="981">
        <v>535</v>
      </c>
      <c r="G6" s="981">
        <v>2127</v>
      </c>
      <c r="H6" s="981"/>
      <c r="I6" s="981"/>
      <c r="J6" s="981">
        <v>278</v>
      </c>
    </row>
    <row r="7" spans="1:10" x14ac:dyDescent="0.25">
      <c r="A7" s="981" t="s">
        <v>207</v>
      </c>
      <c r="B7" s="981" t="s">
        <v>320</v>
      </c>
      <c r="C7" s="981">
        <v>359</v>
      </c>
      <c r="D7" s="981">
        <v>0</v>
      </c>
      <c r="E7" s="981">
        <v>0</v>
      </c>
      <c r="F7" s="981">
        <v>73</v>
      </c>
      <c r="G7" s="981">
        <v>277</v>
      </c>
      <c r="H7" s="981">
        <v>0</v>
      </c>
      <c r="I7" s="981">
        <v>0</v>
      </c>
      <c r="J7" s="981">
        <v>9</v>
      </c>
    </row>
    <row r="8" spans="1:10" x14ac:dyDescent="0.25">
      <c r="A8" s="981" t="s">
        <v>207</v>
      </c>
      <c r="B8" s="981" t="s">
        <v>321</v>
      </c>
      <c r="C8" s="981">
        <v>4001</v>
      </c>
      <c r="D8" s="981">
        <v>28</v>
      </c>
      <c r="E8" s="981">
        <v>9</v>
      </c>
      <c r="F8" s="981">
        <v>660</v>
      </c>
      <c r="G8" s="981">
        <v>2374</v>
      </c>
      <c r="H8" s="981">
        <v>115</v>
      </c>
      <c r="I8" s="981">
        <v>136</v>
      </c>
      <c r="J8" s="981">
        <v>679</v>
      </c>
    </row>
    <row r="9" spans="1:10" x14ac:dyDescent="0.25">
      <c r="A9" s="981" t="s">
        <v>206</v>
      </c>
      <c r="B9" s="981" t="s">
        <v>2</v>
      </c>
      <c r="C9" s="981">
        <v>230</v>
      </c>
      <c r="D9" s="981"/>
      <c r="E9" s="981"/>
      <c r="F9" s="981">
        <v>52</v>
      </c>
      <c r="G9" s="981">
        <v>110</v>
      </c>
      <c r="H9" s="981">
        <v>5</v>
      </c>
      <c r="I9" s="981">
        <v>13</v>
      </c>
      <c r="J9" s="981">
        <v>50</v>
      </c>
    </row>
    <row r="10" spans="1:10" x14ac:dyDescent="0.25">
      <c r="A10" s="981" t="s">
        <v>206</v>
      </c>
      <c r="B10" s="981" t="s">
        <v>9</v>
      </c>
      <c r="C10" s="981">
        <v>2950</v>
      </c>
      <c r="D10" s="981"/>
      <c r="E10" s="981"/>
      <c r="F10" s="981">
        <v>546</v>
      </c>
      <c r="G10" s="981">
        <v>2124</v>
      </c>
      <c r="H10" s="981"/>
      <c r="I10" s="981"/>
      <c r="J10" s="981">
        <v>280</v>
      </c>
    </row>
    <row r="11" spans="1:10" x14ac:dyDescent="0.25">
      <c r="A11" s="981" t="s">
        <v>206</v>
      </c>
      <c r="B11" s="981" t="s">
        <v>320</v>
      </c>
      <c r="C11" s="981">
        <v>378</v>
      </c>
      <c r="D11" s="981">
        <v>0</v>
      </c>
      <c r="E11" s="981">
        <v>0</v>
      </c>
      <c r="F11" s="981">
        <v>44</v>
      </c>
      <c r="G11" s="981">
        <v>296</v>
      </c>
      <c r="H11" s="981">
        <v>0</v>
      </c>
      <c r="I11" s="981">
        <v>0</v>
      </c>
      <c r="J11" s="981">
        <v>38</v>
      </c>
    </row>
    <row r="12" spans="1:10" x14ac:dyDescent="0.25">
      <c r="A12" s="981" t="s">
        <v>206</v>
      </c>
      <c r="B12" s="981" t="s">
        <v>321</v>
      </c>
      <c r="C12" s="981">
        <v>3856</v>
      </c>
      <c r="D12" s="981">
        <v>33</v>
      </c>
      <c r="E12" s="981">
        <v>7</v>
      </c>
      <c r="F12" s="981">
        <v>634</v>
      </c>
      <c r="G12" s="981">
        <v>2285</v>
      </c>
      <c r="H12" s="981">
        <v>103</v>
      </c>
      <c r="I12" s="981">
        <v>130</v>
      </c>
      <c r="J12" s="981">
        <v>664</v>
      </c>
    </row>
    <row r="13" spans="1:10" x14ac:dyDescent="0.25">
      <c r="A13" s="981" t="s">
        <v>205</v>
      </c>
      <c r="B13" s="981" t="s">
        <v>2</v>
      </c>
      <c r="C13" s="981">
        <v>203</v>
      </c>
      <c r="D13" s="981"/>
      <c r="E13" s="981"/>
      <c r="F13" s="981">
        <v>44</v>
      </c>
      <c r="G13" s="981">
        <v>95</v>
      </c>
      <c r="H13" s="981">
        <v>6</v>
      </c>
      <c r="I13" s="981">
        <v>7</v>
      </c>
      <c r="J13" s="981">
        <v>51</v>
      </c>
    </row>
    <row r="14" spans="1:10" x14ac:dyDescent="0.25">
      <c r="A14" s="981" t="s">
        <v>205</v>
      </c>
      <c r="B14" s="981" t="s">
        <v>9</v>
      </c>
      <c r="C14" s="981">
        <v>2870</v>
      </c>
      <c r="D14" s="981"/>
      <c r="E14" s="981"/>
      <c r="F14" s="981">
        <v>543</v>
      </c>
      <c r="G14" s="981">
        <v>2065</v>
      </c>
      <c r="H14" s="981"/>
      <c r="I14" s="981"/>
      <c r="J14" s="981">
        <v>262</v>
      </c>
    </row>
    <row r="15" spans="1:10" x14ac:dyDescent="0.25">
      <c r="A15" s="981" t="s">
        <v>205</v>
      </c>
      <c r="B15" s="981" t="s">
        <v>320</v>
      </c>
      <c r="C15" s="981">
        <v>342</v>
      </c>
      <c r="D15" s="981">
        <v>0</v>
      </c>
      <c r="E15" s="981">
        <v>0</v>
      </c>
      <c r="F15" s="981">
        <v>46</v>
      </c>
      <c r="G15" s="981">
        <v>260</v>
      </c>
      <c r="H15" s="981">
        <v>0</v>
      </c>
      <c r="I15" s="981">
        <v>0</v>
      </c>
      <c r="J15" s="981">
        <v>36</v>
      </c>
    </row>
    <row r="16" spans="1:10" x14ac:dyDescent="0.25">
      <c r="A16" s="981" t="s">
        <v>205</v>
      </c>
      <c r="B16" s="981" t="s">
        <v>321</v>
      </c>
      <c r="C16" s="981">
        <v>3690</v>
      </c>
      <c r="D16" s="981">
        <v>35</v>
      </c>
      <c r="E16" s="981">
        <v>4</v>
      </c>
      <c r="F16" s="981">
        <v>600</v>
      </c>
      <c r="G16" s="981">
        <v>2258</v>
      </c>
      <c r="H16" s="981">
        <v>90</v>
      </c>
      <c r="I16" s="981">
        <v>126</v>
      </c>
      <c r="J16" s="981">
        <v>577</v>
      </c>
    </row>
    <row r="17" spans="1:10" x14ac:dyDescent="0.25">
      <c r="A17" s="981" t="s">
        <v>278</v>
      </c>
      <c r="B17" s="981" t="s">
        <v>2</v>
      </c>
      <c r="C17" s="981">
        <v>165</v>
      </c>
      <c r="D17" s="981"/>
      <c r="E17" s="981"/>
      <c r="F17" s="981">
        <v>31</v>
      </c>
      <c r="G17" s="981">
        <v>80</v>
      </c>
      <c r="H17" s="981">
        <v>5</v>
      </c>
      <c r="I17" s="981">
        <v>8</v>
      </c>
      <c r="J17" s="981">
        <v>41</v>
      </c>
    </row>
    <row r="18" spans="1:10" x14ac:dyDescent="0.25">
      <c r="A18" s="981" t="s">
        <v>278</v>
      </c>
      <c r="B18" s="981" t="s">
        <v>9</v>
      </c>
      <c r="C18" s="981">
        <v>2870</v>
      </c>
      <c r="D18" s="981"/>
      <c r="E18" s="981"/>
      <c r="F18" s="981">
        <v>549</v>
      </c>
      <c r="G18" s="981">
        <v>2061</v>
      </c>
      <c r="H18" s="981"/>
      <c r="I18" s="981"/>
      <c r="J18" s="981">
        <v>260</v>
      </c>
    </row>
    <row r="19" spans="1:10" x14ac:dyDescent="0.25">
      <c r="A19" s="981" t="s">
        <v>278</v>
      </c>
      <c r="B19" s="981" t="s">
        <v>320</v>
      </c>
      <c r="C19" s="981">
        <v>316</v>
      </c>
      <c r="D19" s="981">
        <v>0</v>
      </c>
      <c r="E19" s="981">
        <v>0</v>
      </c>
      <c r="F19" s="981">
        <v>42</v>
      </c>
      <c r="G19" s="981">
        <v>238</v>
      </c>
      <c r="H19" s="981">
        <v>0</v>
      </c>
      <c r="I19" s="981">
        <v>0</v>
      </c>
      <c r="J19" s="981">
        <v>36</v>
      </c>
    </row>
    <row r="20" spans="1:10" x14ac:dyDescent="0.25">
      <c r="A20" s="981" t="s">
        <v>278</v>
      </c>
      <c r="B20" s="981" t="s">
        <v>321</v>
      </c>
      <c r="C20" s="981">
        <v>3645</v>
      </c>
      <c r="D20" s="981">
        <v>34</v>
      </c>
      <c r="E20" s="981">
        <v>4</v>
      </c>
      <c r="F20" s="981">
        <v>635</v>
      </c>
      <c r="G20" s="981">
        <v>2161</v>
      </c>
      <c r="H20" s="981">
        <v>70</v>
      </c>
      <c r="I20" s="981">
        <v>151</v>
      </c>
      <c r="J20" s="981">
        <v>590</v>
      </c>
    </row>
    <row r="21" spans="1:10" x14ac:dyDescent="0.25">
      <c r="A21" s="981" t="s">
        <v>259</v>
      </c>
      <c r="B21" s="981" t="s">
        <v>2</v>
      </c>
      <c r="C21" s="981">
        <v>189</v>
      </c>
      <c r="D21" s="981"/>
      <c r="E21" s="981"/>
      <c r="F21" s="981">
        <v>27</v>
      </c>
      <c r="G21" s="981">
        <v>106</v>
      </c>
      <c r="H21" s="981">
        <v>5</v>
      </c>
      <c r="I21" s="981">
        <v>8</v>
      </c>
      <c r="J21" s="981">
        <v>43</v>
      </c>
    </row>
    <row r="22" spans="1:10" x14ac:dyDescent="0.25">
      <c r="A22" s="981" t="s">
        <v>259</v>
      </c>
      <c r="B22" s="981" t="s">
        <v>9</v>
      </c>
      <c r="C22" s="981">
        <v>2863</v>
      </c>
      <c r="D22" s="981"/>
      <c r="E22" s="981"/>
      <c r="F22" s="981">
        <v>525</v>
      </c>
      <c r="G22" s="981">
        <v>2077</v>
      </c>
      <c r="H22" s="981"/>
      <c r="I22" s="981"/>
      <c r="J22" s="981">
        <v>261</v>
      </c>
    </row>
    <row r="23" spans="1:10" x14ac:dyDescent="0.25">
      <c r="A23" s="981" t="s">
        <v>259</v>
      </c>
      <c r="B23" s="981" t="s">
        <v>320</v>
      </c>
      <c r="C23" s="981">
        <v>332</v>
      </c>
      <c r="D23" s="981"/>
      <c r="E23" s="981"/>
      <c r="F23" s="981">
        <v>39</v>
      </c>
      <c r="G23" s="981">
        <v>256</v>
      </c>
      <c r="H23" s="981"/>
      <c r="I23" s="981"/>
      <c r="J23" s="981">
        <v>37</v>
      </c>
    </row>
    <row r="24" spans="1:10" x14ac:dyDescent="0.25">
      <c r="A24" s="981" t="s">
        <v>259</v>
      </c>
      <c r="B24" s="981" t="s">
        <v>321</v>
      </c>
      <c r="C24" s="981">
        <v>3546</v>
      </c>
      <c r="D24" s="981">
        <v>34</v>
      </c>
      <c r="E24" s="981">
        <v>4</v>
      </c>
      <c r="F24" s="981">
        <v>689</v>
      </c>
      <c r="G24" s="981">
        <v>1989</v>
      </c>
      <c r="H24" s="981">
        <v>74</v>
      </c>
      <c r="I24" s="981">
        <v>153</v>
      </c>
      <c r="J24" s="981">
        <v>603</v>
      </c>
    </row>
    <row r="25" spans="1:10" x14ac:dyDescent="0.25">
      <c r="A25" s="981" t="s">
        <v>258</v>
      </c>
      <c r="B25" s="981" t="s">
        <v>2</v>
      </c>
      <c r="C25" s="981">
        <v>207</v>
      </c>
      <c r="D25" s="981">
        <v>1</v>
      </c>
      <c r="E25" s="981"/>
      <c r="F25" s="981">
        <v>27</v>
      </c>
      <c r="G25" s="981">
        <v>124</v>
      </c>
      <c r="H25" s="981">
        <v>4</v>
      </c>
      <c r="I25" s="981">
        <v>9</v>
      </c>
      <c r="J25" s="981">
        <v>42</v>
      </c>
    </row>
    <row r="26" spans="1:10" x14ac:dyDescent="0.25">
      <c r="A26" s="981" t="s">
        <v>258</v>
      </c>
      <c r="B26" s="981" t="s">
        <v>9</v>
      </c>
      <c r="C26" s="981">
        <v>2953</v>
      </c>
      <c r="D26" s="981"/>
      <c r="E26" s="981"/>
      <c r="F26" s="981">
        <v>533</v>
      </c>
      <c r="G26" s="981">
        <v>2141</v>
      </c>
      <c r="H26" s="981"/>
      <c r="I26" s="981"/>
      <c r="J26" s="981">
        <v>279</v>
      </c>
    </row>
    <row r="27" spans="1:10" x14ac:dyDescent="0.25">
      <c r="A27" s="981" t="s">
        <v>258</v>
      </c>
      <c r="B27" s="981" t="s">
        <v>320</v>
      </c>
      <c r="C27" s="981">
        <v>317</v>
      </c>
      <c r="D27" s="981"/>
      <c r="E27" s="981"/>
      <c r="F27" s="981">
        <v>40</v>
      </c>
      <c r="G27" s="981">
        <v>240</v>
      </c>
      <c r="H27" s="981"/>
      <c r="I27" s="981"/>
      <c r="J27" s="981">
        <v>37</v>
      </c>
    </row>
    <row r="28" spans="1:10" x14ac:dyDescent="0.25">
      <c r="A28" s="981" t="s">
        <v>258</v>
      </c>
      <c r="B28" s="981" t="s">
        <v>321</v>
      </c>
      <c r="C28" s="981">
        <v>3637</v>
      </c>
      <c r="D28" s="981">
        <v>33</v>
      </c>
      <c r="E28" s="981">
        <v>4</v>
      </c>
      <c r="F28" s="981">
        <v>687</v>
      </c>
      <c r="G28" s="981">
        <v>2075</v>
      </c>
      <c r="H28" s="981">
        <v>80</v>
      </c>
      <c r="I28" s="981">
        <v>147</v>
      </c>
      <c r="J28" s="981">
        <v>611</v>
      </c>
    </row>
  </sheetData>
  <mergeCells count="1">
    <mergeCell ref="A2:B2"/>
  </mergeCells>
  <pageMargins left="0.7" right="0.7" top="0.75" bottom="0.75" header="0.3" footer="0.3"/>
  <pageSetup paperSize="9" fitToHeight="5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4:H41"/>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4" spans="1:8" x14ac:dyDescent="0.25">
      <c r="A4" s="980" t="s">
        <v>586</v>
      </c>
      <c r="B4" s="980" t="s">
        <v>914</v>
      </c>
      <c r="C4" s="980" t="s">
        <v>915</v>
      </c>
      <c r="D4" s="980" t="s">
        <v>2</v>
      </c>
      <c r="E4" s="980" t="s">
        <v>9</v>
      </c>
      <c r="F4" s="980" t="s">
        <v>3</v>
      </c>
      <c r="G4" s="980" t="s">
        <v>320</v>
      </c>
      <c r="H4" s="980" t="s">
        <v>321</v>
      </c>
    </row>
    <row r="5" spans="1:8" x14ac:dyDescent="0.25">
      <c r="A5" s="981" t="s">
        <v>899</v>
      </c>
      <c r="B5" s="981" t="s">
        <v>900</v>
      </c>
      <c r="C5" s="981">
        <v>183.47000000000003</v>
      </c>
      <c r="D5" s="981"/>
      <c r="E5" s="981"/>
      <c r="F5" s="981">
        <v>178.47000000000003</v>
      </c>
      <c r="G5" s="981"/>
      <c r="H5" s="981">
        <v>5</v>
      </c>
    </row>
    <row r="6" spans="1:8" x14ac:dyDescent="0.25">
      <c r="A6" s="981" t="s">
        <v>899</v>
      </c>
      <c r="B6" s="981" t="s">
        <v>901</v>
      </c>
      <c r="C6" s="981">
        <v>60.509999999999991</v>
      </c>
      <c r="D6" s="981"/>
      <c r="E6" s="981"/>
      <c r="F6" s="981">
        <v>58.509999999999991</v>
      </c>
      <c r="G6" s="981"/>
      <c r="H6" s="981">
        <v>2</v>
      </c>
    </row>
    <row r="7" spans="1:8" x14ac:dyDescent="0.25">
      <c r="A7" s="981" t="s">
        <v>899</v>
      </c>
      <c r="B7" s="981" t="s">
        <v>902</v>
      </c>
      <c r="C7" s="981">
        <v>63.550000000000011</v>
      </c>
      <c r="D7" s="981"/>
      <c r="E7" s="981"/>
      <c r="F7" s="981">
        <v>63.550000000000011</v>
      </c>
      <c r="G7" s="981"/>
      <c r="H7" s="981"/>
    </row>
    <row r="8" spans="1:8" x14ac:dyDescent="0.25">
      <c r="A8" s="981" t="s">
        <v>899</v>
      </c>
      <c r="B8" s="981" t="s">
        <v>903</v>
      </c>
      <c r="C8" s="981">
        <v>45.75</v>
      </c>
      <c r="D8" s="981"/>
      <c r="E8" s="981"/>
      <c r="F8" s="981">
        <v>42.75</v>
      </c>
      <c r="G8" s="981"/>
      <c r="H8" s="981">
        <v>3</v>
      </c>
    </row>
    <row r="9" spans="1:8" x14ac:dyDescent="0.25">
      <c r="A9" s="981" t="s">
        <v>899</v>
      </c>
      <c r="B9" s="981" t="s">
        <v>904</v>
      </c>
      <c r="C9" s="981">
        <v>54.92</v>
      </c>
      <c r="D9" s="981"/>
      <c r="E9" s="981"/>
      <c r="F9" s="981">
        <v>52.92</v>
      </c>
      <c r="G9" s="981"/>
      <c r="H9" s="981">
        <v>2</v>
      </c>
    </row>
    <row r="10" spans="1:8" x14ac:dyDescent="0.25">
      <c r="A10" s="981" t="s">
        <v>899</v>
      </c>
      <c r="B10" s="981" t="s">
        <v>905</v>
      </c>
      <c r="C10" s="981">
        <v>76</v>
      </c>
      <c r="D10" s="981"/>
      <c r="E10" s="981"/>
      <c r="F10" s="981">
        <v>76</v>
      </c>
      <c r="G10" s="981"/>
      <c r="H10" s="981"/>
    </row>
    <row r="11" spans="1:8" x14ac:dyDescent="0.25">
      <c r="A11" s="981" t="s">
        <v>899</v>
      </c>
      <c r="B11" s="981" t="s">
        <v>906</v>
      </c>
      <c r="C11" s="981">
        <v>277.64</v>
      </c>
      <c r="D11" s="981"/>
      <c r="E11" s="981"/>
      <c r="F11" s="981">
        <v>78.710000000000008</v>
      </c>
      <c r="G11" s="981"/>
      <c r="H11" s="981">
        <v>198.93</v>
      </c>
    </row>
    <row r="12" spans="1:8" x14ac:dyDescent="0.25">
      <c r="A12" s="981" t="s">
        <v>899</v>
      </c>
      <c r="B12" s="981" t="s">
        <v>907</v>
      </c>
      <c r="C12" s="981">
        <v>305.83000000000004</v>
      </c>
      <c r="D12" s="981">
        <v>192.33</v>
      </c>
      <c r="E12" s="981"/>
      <c r="F12" s="981">
        <v>68.5</v>
      </c>
      <c r="G12" s="981"/>
      <c r="H12" s="981">
        <v>45</v>
      </c>
    </row>
    <row r="13" spans="1:8" x14ac:dyDescent="0.25">
      <c r="A13" s="981" t="s">
        <v>899</v>
      </c>
      <c r="B13" s="981" t="s">
        <v>908</v>
      </c>
      <c r="C13" s="981">
        <v>7</v>
      </c>
      <c r="D13" s="981"/>
      <c r="E13" s="981"/>
      <c r="F13" s="981">
        <v>3</v>
      </c>
      <c r="G13" s="981"/>
      <c r="H13" s="981">
        <v>4</v>
      </c>
    </row>
    <row r="14" spans="1:8" x14ac:dyDescent="0.25">
      <c r="A14" s="981" t="s">
        <v>899</v>
      </c>
      <c r="B14" s="981" t="s">
        <v>909</v>
      </c>
      <c r="C14" s="981">
        <v>5727.32</v>
      </c>
      <c r="D14" s="981"/>
      <c r="E14" s="981">
        <v>2610.98</v>
      </c>
      <c r="F14" s="981">
        <v>15.340000000000002</v>
      </c>
      <c r="G14" s="981">
        <v>0</v>
      </c>
      <c r="H14" s="981">
        <v>3101</v>
      </c>
    </row>
    <row r="15" spans="1:8" x14ac:dyDescent="0.25">
      <c r="A15" s="981" t="s">
        <v>899</v>
      </c>
      <c r="B15" s="981" t="s">
        <v>910</v>
      </c>
      <c r="C15" s="981">
        <v>5</v>
      </c>
      <c r="D15" s="981"/>
      <c r="E15" s="981"/>
      <c r="F15" s="981"/>
      <c r="G15" s="981"/>
      <c r="H15" s="981">
        <v>5</v>
      </c>
    </row>
    <row r="16" spans="1:8" x14ac:dyDescent="0.25">
      <c r="A16" s="981" t="s">
        <v>899</v>
      </c>
      <c r="B16" s="981" t="s">
        <v>911</v>
      </c>
      <c r="C16" s="981">
        <v>55.45</v>
      </c>
      <c r="D16" s="981"/>
      <c r="E16" s="981"/>
      <c r="F16" s="981">
        <v>53.45</v>
      </c>
      <c r="G16" s="981"/>
      <c r="H16" s="981">
        <v>2</v>
      </c>
    </row>
    <row r="17" spans="1:8" x14ac:dyDescent="0.25">
      <c r="A17" s="981" t="s">
        <v>899</v>
      </c>
      <c r="B17" s="981" t="s">
        <v>912</v>
      </c>
      <c r="C17" s="981">
        <v>76</v>
      </c>
      <c r="D17" s="981">
        <v>10</v>
      </c>
      <c r="E17" s="981"/>
      <c r="F17" s="981">
        <v>1</v>
      </c>
      <c r="G17" s="981"/>
      <c r="H17" s="981">
        <v>65</v>
      </c>
    </row>
    <row r="18" spans="1:8" x14ac:dyDescent="0.25">
      <c r="A18" s="981" t="s">
        <v>899</v>
      </c>
      <c r="B18" s="981" t="s">
        <v>913</v>
      </c>
      <c r="C18" s="981">
        <v>256.36</v>
      </c>
      <c r="D18" s="981"/>
      <c r="E18" s="981"/>
      <c r="F18" s="981">
        <v>53.360000000000007</v>
      </c>
      <c r="G18" s="981"/>
      <c r="H18" s="981">
        <v>203</v>
      </c>
    </row>
    <row r="19" spans="1:8" x14ac:dyDescent="0.25">
      <c r="A19" s="981" t="s">
        <v>91</v>
      </c>
      <c r="B19" s="981" t="s">
        <v>900</v>
      </c>
      <c r="C19" s="981">
        <v>187</v>
      </c>
      <c r="D19" s="981"/>
      <c r="E19" s="981"/>
      <c r="F19" s="981">
        <v>182</v>
      </c>
      <c r="G19" s="981"/>
      <c r="H19" s="981">
        <v>5</v>
      </c>
    </row>
    <row r="20" spans="1:8" x14ac:dyDescent="0.25">
      <c r="A20" s="981" t="s">
        <v>91</v>
      </c>
      <c r="B20" s="981" t="s">
        <v>901</v>
      </c>
      <c r="C20" s="981">
        <v>68</v>
      </c>
      <c r="D20" s="981"/>
      <c r="E20" s="981"/>
      <c r="F20" s="981">
        <v>66</v>
      </c>
      <c r="G20" s="981"/>
      <c r="H20" s="981">
        <v>2</v>
      </c>
    </row>
    <row r="21" spans="1:8" x14ac:dyDescent="0.25">
      <c r="A21" s="981" t="s">
        <v>91</v>
      </c>
      <c r="B21" s="981" t="s">
        <v>902</v>
      </c>
      <c r="C21" s="981">
        <v>67</v>
      </c>
      <c r="D21" s="981"/>
      <c r="E21" s="981"/>
      <c r="F21" s="981">
        <v>67</v>
      </c>
      <c r="G21" s="981"/>
      <c r="H21" s="981"/>
    </row>
    <row r="22" spans="1:8" x14ac:dyDescent="0.25">
      <c r="A22" s="981" t="s">
        <v>91</v>
      </c>
      <c r="B22" s="981" t="s">
        <v>903</v>
      </c>
      <c r="C22" s="981">
        <v>49</v>
      </c>
      <c r="D22" s="981"/>
      <c r="E22" s="981"/>
      <c r="F22" s="981">
        <v>46</v>
      </c>
      <c r="G22" s="981"/>
      <c r="H22" s="981">
        <v>3</v>
      </c>
    </row>
    <row r="23" spans="1:8" x14ac:dyDescent="0.25">
      <c r="A23" s="981" t="s">
        <v>91</v>
      </c>
      <c r="B23" s="981" t="s">
        <v>904</v>
      </c>
      <c r="C23" s="981">
        <v>58</v>
      </c>
      <c r="D23" s="981"/>
      <c r="E23" s="981"/>
      <c r="F23" s="981">
        <v>56</v>
      </c>
      <c r="G23" s="981"/>
      <c r="H23" s="981">
        <v>2</v>
      </c>
    </row>
    <row r="24" spans="1:8" x14ac:dyDescent="0.25">
      <c r="A24" s="981" t="s">
        <v>91</v>
      </c>
      <c r="B24" s="981" t="s">
        <v>905</v>
      </c>
      <c r="C24" s="981">
        <v>77</v>
      </c>
      <c r="D24" s="981"/>
      <c r="E24" s="981"/>
      <c r="F24" s="981">
        <v>77</v>
      </c>
      <c r="G24" s="981"/>
      <c r="H24" s="981"/>
    </row>
    <row r="25" spans="1:8" x14ac:dyDescent="0.25">
      <c r="A25" s="981" t="s">
        <v>91</v>
      </c>
      <c r="B25" s="981" t="s">
        <v>906</v>
      </c>
      <c r="C25" s="981">
        <v>282</v>
      </c>
      <c r="D25" s="981"/>
      <c r="E25" s="981"/>
      <c r="F25" s="981">
        <v>82</v>
      </c>
      <c r="G25" s="981"/>
      <c r="H25" s="981">
        <v>200</v>
      </c>
    </row>
    <row r="26" spans="1:8" x14ac:dyDescent="0.25">
      <c r="A26" s="981" t="s">
        <v>91</v>
      </c>
      <c r="B26" s="981" t="s">
        <v>907</v>
      </c>
      <c r="C26" s="981">
        <v>315</v>
      </c>
      <c r="D26" s="981">
        <v>197</v>
      </c>
      <c r="E26" s="981"/>
      <c r="F26" s="981">
        <v>73</v>
      </c>
      <c r="G26" s="981"/>
      <c r="H26" s="981">
        <v>45</v>
      </c>
    </row>
    <row r="27" spans="1:8" x14ac:dyDescent="0.25">
      <c r="A27" s="981" t="s">
        <v>91</v>
      </c>
      <c r="B27" s="981" t="s">
        <v>908</v>
      </c>
      <c r="C27" s="981">
        <v>7</v>
      </c>
      <c r="D27" s="981"/>
      <c r="E27" s="981"/>
      <c r="F27" s="981">
        <v>3</v>
      </c>
      <c r="G27" s="981"/>
      <c r="H27" s="981">
        <v>4</v>
      </c>
    </row>
    <row r="28" spans="1:8" x14ac:dyDescent="0.25">
      <c r="A28" s="981" t="s">
        <v>91</v>
      </c>
      <c r="B28" s="981" t="s">
        <v>909</v>
      </c>
      <c r="C28" s="981">
        <v>6397</v>
      </c>
      <c r="D28" s="981"/>
      <c r="E28" s="981">
        <v>2953</v>
      </c>
      <c r="F28" s="981">
        <v>26</v>
      </c>
      <c r="G28" s="981">
        <v>317</v>
      </c>
      <c r="H28" s="981">
        <v>3101</v>
      </c>
    </row>
    <row r="29" spans="1:8" x14ac:dyDescent="0.25">
      <c r="A29" s="981" t="s">
        <v>91</v>
      </c>
      <c r="B29" s="981" t="s">
        <v>910</v>
      </c>
      <c r="C29" s="981">
        <v>5</v>
      </c>
      <c r="D29" s="981"/>
      <c r="E29" s="981"/>
      <c r="F29" s="981"/>
      <c r="G29" s="981"/>
      <c r="H29" s="981">
        <v>5</v>
      </c>
    </row>
    <row r="30" spans="1:8" x14ac:dyDescent="0.25">
      <c r="A30" s="981" t="s">
        <v>91</v>
      </c>
      <c r="B30" s="981" t="s">
        <v>911</v>
      </c>
      <c r="C30" s="981">
        <v>57</v>
      </c>
      <c r="D30" s="981"/>
      <c r="E30" s="981"/>
      <c r="F30" s="981">
        <v>55</v>
      </c>
      <c r="G30" s="981"/>
      <c r="H30" s="981">
        <v>2</v>
      </c>
    </row>
    <row r="31" spans="1:8" x14ac:dyDescent="0.25">
      <c r="A31" s="981" t="s">
        <v>91</v>
      </c>
      <c r="B31" s="981" t="s">
        <v>912</v>
      </c>
      <c r="C31" s="981">
        <v>76</v>
      </c>
      <c r="D31" s="981">
        <v>10</v>
      </c>
      <c r="E31" s="981"/>
      <c r="F31" s="981">
        <v>1</v>
      </c>
      <c r="G31" s="981"/>
      <c r="H31" s="981">
        <v>65</v>
      </c>
    </row>
    <row r="32" spans="1:8" x14ac:dyDescent="0.25">
      <c r="A32" s="981" t="s">
        <v>91</v>
      </c>
      <c r="B32" s="981" t="s">
        <v>913</v>
      </c>
      <c r="C32" s="981">
        <v>261</v>
      </c>
      <c r="D32" s="981"/>
      <c r="E32" s="981"/>
      <c r="F32" s="981">
        <v>58</v>
      </c>
      <c r="G32" s="981"/>
      <c r="H32" s="981">
        <v>203</v>
      </c>
    </row>
    <row r="40" spans="1:1" x14ac:dyDescent="0.25">
      <c r="A40" s="983" t="s">
        <v>893</v>
      </c>
    </row>
    <row r="41" spans="1:1" x14ac:dyDescent="0.25">
      <c r="A41" s="981"/>
    </row>
  </sheetData>
  <pageMargins left="0.7" right="0.7" top="0.75" bottom="0.75" header="0.3" footer="0.3"/>
  <pageSetup paperSize="9" fitToHeight="5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J323"/>
  <sheetViews>
    <sheetView zoomScale="85" zoomScaleNormal="85" workbookViewId="0">
      <pane ySplit="4" topLeftCell="A5" activePane="bottomLeft" state="frozen"/>
      <selection activeCell="A5" sqref="A5"/>
      <selection pane="bottomLeft" activeCell="A5" sqref="A5"/>
    </sheetView>
  </sheetViews>
  <sheetFormatPr defaultRowHeight="15" x14ac:dyDescent="0.25"/>
  <sheetData>
    <row r="1" spans="1:10" ht="15.75" x14ac:dyDescent="0.25">
      <c r="A1" s="982" t="s">
        <v>917</v>
      </c>
    </row>
    <row r="2" spans="1:10" x14ac:dyDescent="0.25">
      <c r="A2" s="1047">
        <v>43700</v>
      </c>
      <c r="B2" s="1048"/>
    </row>
    <row r="4" spans="1:10" x14ac:dyDescent="0.25">
      <c r="A4" s="980" t="s">
        <v>249</v>
      </c>
      <c r="B4" s="980" t="s">
        <v>894</v>
      </c>
      <c r="C4" s="980" t="s">
        <v>261</v>
      </c>
      <c r="D4" s="980" t="s">
        <v>916</v>
      </c>
      <c r="E4" s="980" t="s">
        <v>26</v>
      </c>
      <c r="F4" s="980" t="s">
        <v>2</v>
      </c>
      <c r="G4" s="980" t="s">
        <v>9</v>
      </c>
      <c r="H4" s="980" t="s">
        <v>3</v>
      </c>
      <c r="I4" s="980" t="s">
        <v>320</v>
      </c>
      <c r="J4" s="980" t="s">
        <v>321</v>
      </c>
    </row>
    <row r="5" spans="1:10" x14ac:dyDescent="0.25">
      <c r="A5" s="981" t="s">
        <v>207</v>
      </c>
      <c r="B5" s="981" t="s">
        <v>251</v>
      </c>
      <c r="C5" s="981" t="s">
        <v>287</v>
      </c>
      <c r="D5" s="981" t="s">
        <v>35</v>
      </c>
      <c r="E5" s="981">
        <v>64</v>
      </c>
      <c r="F5" s="981"/>
      <c r="G5" s="981">
        <v>21</v>
      </c>
      <c r="H5" s="981"/>
      <c r="I5" s="981">
        <v>0</v>
      </c>
      <c r="J5" s="981">
        <v>43</v>
      </c>
    </row>
    <row r="6" spans="1:10" x14ac:dyDescent="0.25">
      <c r="A6" s="981" t="s">
        <v>207</v>
      </c>
      <c r="B6" s="981" t="s">
        <v>251</v>
      </c>
      <c r="C6" s="981" t="s">
        <v>288</v>
      </c>
      <c r="D6" s="981" t="s">
        <v>36</v>
      </c>
      <c r="E6" s="981">
        <v>271</v>
      </c>
      <c r="F6" s="981"/>
      <c r="G6" s="981">
        <v>198</v>
      </c>
      <c r="H6" s="981"/>
      <c r="I6" s="981">
        <v>4</v>
      </c>
      <c r="J6" s="981">
        <v>69</v>
      </c>
    </row>
    <row r="7" spans="1:10" x14ac:dyDescent="0.25">
      <c r="A7" s="981" t="s">
        <v>207</v>
      </c>
      <c r="B7" s="981" t="s">
        <v>251</v>
      </c>
      <c r="C7" s="981" t="s">
        <v>289</v>
      </c>
      <c r="D7" s="981" t="s">
        <v>38</v>
      </c>
      <c r="E7" s="981">
        <v>136</v>
      </c>
      <c r="F7" s="981"/>
      <c r="G7" s="981">
        <v>77</v>
      </c>
      <c r="H7" s="981"/>
      <c r="I7" s="981">
        <v>0</v>
      </c>
      <c r="J7" s="981">
        <v>59</v>
      </c>
    </row>
    <row r="8" spans="1:10" x14ac:dyDescent="0.25">
      <c r="A8" s="981" t="s">
        <v>207</v>
      </c>
      <c r="B8" s="981" t="s">
        <v>251</v>
      </c>
      <c r="C8" s="981" t="s">
        <v>290</v>
      </c>
      <c r="D8" s="981" t="s">
        <v>40</v>
      </c>
      <c r="E8" s="981">
        <v>81</v>
      </c>
      <c r="F8" s="981"/>
      <c r="G8" s="981">
        <v>52</v>
      </c>
      <c r="H8" s="981"/>
      <c r="I8" s="981">
        <v>0</v>
      </c>
      <c r="J8" s="981">
        <v>29</v>
      </c>
    </row>
    <row r="9" spans="1:10" x14ac:dyDescent="0.25">
      <c r="A9" s="981" t="s">
        <v>207</v>
      </c>
      <c r="B9" s="981" t="s">
        <v>251</v>
      </c>
      <c r="C9" s="981" t="s">
        <v>291</v>
      </c>
      <c r="D9" s="981" t="s">
        <v>41</v>
      </c>
      <c r="E9" s="981">
        <v>59</v>
      </c>
      <c r="F9" s="981"/>
      <c r="G9" s="981">
        <v>0</v>
      </c>
      <c r="H9" s="981"/>
      <c r="I9" s="981">
        <v>0</v>
      </c>
      <c r="J9" s="981">
        <v>59</v>
      </c>
    </row>
    <row r="10" spans="1:10" x14ac:dyDescent="0.25">
      <c r="A10" s="981" t="s">
        <v>207</v>
      </c>
      <c r="B10" s="981" t="s">
        <v>251</v>
      </c>
      <c r="C10" s="981" t="s">
        <v>292</v>
      </c>
      <c r="D10" s="981" t="s">
        <v>48</v>
      </c>
      <c r="E10" s="981">
        <v>132</v>
      </c>
      <c r="F10" s="981"/>
      <c r="G10" s="981">
        <v>132</v>
      </c>
      <c r="H10" s="981"/>
      <c r="I10" s="981">
        <v>0</v>
      </c>
      <c r="J10" s="981">
        <v>0</v>
      </c>
    </row>
    <row r="11" spans="1:10" x14ac:dyDescent="0.25">
      <c r="A11" s="981" t="s">
        <v>207</v>
      </c>
      <c r="B11" s="981" t="s">
        <v>251</v>
      </c>
      <c r="C11" s="981" t="s">
        <v>293</v>
      </c>
      <c r="D11" s="981" t="s">
        <v>42</v>
      </c>
      <c r="E11" s="981">
        <v>161</v>
      </c>
      <c r="F11" s="981"/>
      <c r="G11" s="981">
        <v>65</v>
      </c>
      <c r="H11" s="981"/>
      <c r="I11" s="981">
        <v>0</v>
      </c>
      <c r="J11" s="981">
        <v>96</v>
      </c>
    </row>
    <row r="12" spans="1:10" x14ac:dyDescent="0.25">
      <c r="A12" s="981" t="s">
        <v>207</v>
      </c>
      <c r="B12" s="981" t="s">
        <v>251</v>
      </c>
      <c r="C12" s="981" t="s">
        <v>294</v>
      </c>
      <c r="D12" s="981" t="s">
        <v>44</v>
      </c>
      <c r="E12" s="981">
        <v>717</v>
      </c>
      <c r="F12" s="981"/>
      <c r="G12" s="981">
        <v>564</v>
      </c>
      <c r="H12" s="981"/>
      <c r="I12" s="981">
        <v>72</v>
      </c>
      <c r="J12" s="981">
        <v>81</v>
      </c>
    </row>
    <row r="13" spans="1:10" x14ac:dyDescent="0.25">
      <c r="A13" s="981" t="s">
        <v>207</v>
      </c>
      <c r="B13" s="981" t="s">
        <v>251</v>
      </c>
      <c r="C13" s="981" t="s">
        <v>295</v>
      </c>
      <c r="D13" s="981" t="s">
        <v>45</v>
      </c>
      <c r="E13" s="981">
        <v>120</v>
      </c>
      <c r="F13" s="981"/>
      <c r="G13" s="981">
        <v>42</v>
      </c>
      <c r="H13" s="981"/>
      <c r="I13" s="981">
        <v>0</v>
      </c>
      <c r="J13" s="981">
        <v>78</v>
      </c>
    </row>
    <row r="14" spans="1:10" x14ac:dyDescent="0.25">
      <c r="A14" s="981" t="s">
        <v>207</v>
      </c>
      <c r="B14" s="981" t="s">
        <v>251</v>
      </c>
      <c r="C14" s="981" t="s">
        <v>296</v>
      </c>
      <c r="D14" s="981" t="s">
        <v>46</v>
      </c>
      <c r="E14" s="981">
        <v>45</v>
      </c>
      <c r="F14" s="981"/>
      <c r="G14" s="981">
        <v>10</v>
      </c>
      <c r="H14" s="981"/>
      <c r="I14" s="981">
        <v>0</v>
      </c>
      <c r="J14" s="981">
        <v>35</v>
      </c>
    </row>
    <row r="15" spans="1:10" x14ac:dyDescent="0.25">
      <c r="A15" s="981" t="s">
        <v>207</v>
      </c>
      <c r="B15" s="981" t="s">
        <v>251</v>
      </c>
      <c r="C15" s="981" t="s">
        <v>297</v>
      </c>
      <c r="D15" s="981" t="s">
        <v>47</v>
      </c>
      <c r="E15" s="981">
        <v>156</v>
      </c>
      <c r="F15" s="981"/>
      <c r="G15" s="981">
        <v>104</v>
      </c>
      <c r="H15" s="981"/>
      <c r="I15" s="981">
        <v>32</v>
      </c>
      <c r="J15" s="981">
        <v>20</v>
      </c>
    </row>
    <row r="16" spans="1:10" x14ac:dyDescent="0.25">
      <c r="A16" s="981" t="s">
        <v>207</v>
      </c>
      <c r="B16" s="981" t="s">
        <v>251</v>
      </c>
      <c r="C16" s="981" t="s">
        <v>298</v>
      </c>
      <c r="D16" s="981" t="s">
        <v>49</v>
      </c>
      <c r="E16" s="981">
        <v>191</v>
      </c>
      <c r="F16" s="981"/>
      <c r="G16" s="981">
        <v>94</v>
      </c>
      <c r="H16" s="981"/>
      <c r="I16" s="981">
        <v>21</v>
      </c>
      <c r="J16" s="981">
        <v>76</v>
      </c>
    </row>
    <row r="17" spans="1:10" x14ac:dyDescent="0.25">
      <c r="A17" s="981" t="s">
        <v>207</v>
      </c>
      <c r="B17" s="981" t="s">
        <v>251</v>
      </c>
      <c r="C17" s="981" t="s">
        <v>299</v>
      </c>
      <c r="D17" s="981" t="s">
        <v>51</v>
      </c>
      <c r="E17" s="981">
        <v>113</v>
      </c>
      <c r="F17" s="981"/>
      <c r="G17" s="981">
        <v>113</v>
      </c>
      <c r="H17" s="981"/>
      <c r="I17" s="981">
        <v>0</v>
      </c>
      <c r="J17" s="981">
        <v>0</v>
      </c>
    </row>
    <row r="18" spans="1:10" x14ac:dyDescent="0.25">
      <c r="A18" s="981" t="s">
        <v>207</v>
      </c>
      <c r="B18" s="981" t="s">
        <v>251</v>
      </c>
      <c r="C18" s="981" t="s">
        <v>300</v>
      </c>
      <c r="D18" s="981" t="s">
        <v>52</v>
      </c>
      <c r="E18" s="981">
        <v>253</v>
      </c>
      <c r="F18" s="981"/>
      <c r="G18" s="981">
        <v>140</v>
      </c>
      <c r="H18" s="981"/>
      <c r="I18" s="981">
        <v>25</v>
      </c>
      <c r="J18" s="981">
        <v>88</v>
      </c>
    </row>
    <row r="19" spans="1:10" x14ac:dyDescent="0.25">
      <c r="A19" s="981" t="s">
        <v>207</v>
      </c>
      <c r="B19" s="981" t="s">
        <v>251</v>
      </c>
      <c r="C19" s="981" t="s">
        <v>301</v>
      </c>
      <c r="D19" s="981" t="s">
        <v>54</v>
      </c>
      <c r="E19" s="981">
        <v>209</v>
      </c>
      <c r="F19" s="981"/>
      <c r="G19" s="981">
        <v>134</v>
      </c>
      <c r="H19" s="981"/>
      <c r="I19" s="981">
        <v>0</v>
      </c>
      <c r="J19" s="981">
        <v>75</v>
      </c>
    </row>
    <row r="20" spans="1:10" x14ac:dyDescent="0.25">
      <c r="A20" s="981" t="s">
        <v>207</v>
      </c>
      <c r="B20" s="981" t="s">
        <v>251</v>
      </c>
      <c r="C20" s="981" t="s">
        <v>302</v>
      </c>
      <c r="D20" s="981" t="s">
        <v>55</v>
      </c>
      <c r="E20" s="981">
        <v>134</v>
      </c>
      <c r="F20" s="981"/>
      <c r="G20" s="981">
        <v>134</v>
      </c>
      <c r="H20" s="981"/>
      <c r="I20" s="981">
        <v>0</v>
      </c>
      <c r="J20" s="981">
        <v>0</v>
      </c>
    </row>
    <row r="21" spans="1:10" x14ac:dyDescent="0.25">
      <c r="A21" s="981" t="s">
        <v>207</v>
      </c>
      <c r="B21" s="981" t="s">
        <v>251</v>
      </c>
      <c r="C21" s="981" t="s">
        <v>303</v>
      </c>
      <c r="D21" s="981" t="s">
        <v>56</v>
      </c>
      <c r="E21" s="981">
        <v>119</v>
      </c>
      <c r="F21" s="981"/>
      <c r="G21" s="981">
        <v>54</v>
      </c>
      <c r="H21" s="981"/>
      <c r="I21" s="981">
        <v>0</v>
      </c>
      <c r="J21" s="981">
        <v>65</v>
      </c>
    </row>
    <row r="22" spans="1:10" x14ac:dyDescent="0.25">
      <c r="A22" s="981" t="s">
        <v>207</v>
      </c>
      <c r="B22" s="981" t="s">
        <v>251</v>
      </c>
      <c r="C22" s="981" t="s">
        <v>304</v>
      </c>
      <c r="D22" s="981" t="s">
        <v>57</v>
      </c>
      <c r="E22" s="981">
        <v>276</v>
      </c>
      <c r="F22" s="981"/>
      <c r="G22" s="981">
        <v>84</v>
      </c>
      <c r="H22" s="981"/>
      <c r="I22" s="981">
        <v>2</v>
      </c>
      <c r="J22" s="981">
        <v>190</v>
      </c>
    </row>
    <row r="23" spans="1:10" x14ac:dyDescent="0.25">
      <c r="A23" s="981" t="s">
        <v>207</v>
      </c>
      <c r="B23" s="981" t="s">
        <v>251</v>
      </c>
      <c r="C23" s="981" t="s">
        <v>305</v>
      </c>
      <c r="D23" s="981" t="s">
        <v>58</v>
      </c>
      <c r="E23" s="981">
        <v>136</v>
      </c>
      <c r="F23" s="981"/>
      <c r="G23" s="981">
        <v>74</v>
      </c>
      <c r="H23" s="981"/>
      <c r="I23" s="981">
        <v>0</v>
      </c>
      <c r="J23" s="981">
        <v>62</v>
      </c>
    </row>
    <row r="24" spans="1:10" x14ac:dyDescent="0.25">
      <c r="A24" s="981" t="s">
        <v>207</v>
      </c>
      <c r="B24" s="981" t="s">
        <v>251</v>
      </c>
      <c r="C24" s="981" t="s">
        <v>306</v>
      </c>
      <c r="D24" s="981" t="s">
        <v>31</v>
      </c>
      <c r="E24" s="981">
        <v>182</v>
      </c>
      <c r="F24" s="981"/>
      <c r="G24" s="981">
        <v>8</v>
      </c>
      <c r="H24" s="981"/>
      <c r="I24" s="981">
        <v>0</v>
      </c>
      <c r="J24" s="981">
        <v>174</v>
      </c>
    </row>
    <row r="25" spans="1:10" x14ac:dyDescent="0.25">
      <c r="A25" s="981" t="s">
        <v>207</v>
      </c>
      <c r="B25" s="981" t="s">
        <v>251</v>
      </c>
      <c r="C25" s="981" t="s">
        <v>307</v>
      </c>
      <c r="D25" s="981" t="s">
        <v>32</v>
      </c>
      <c r="E25" s="981">
        <v>320</v>
      </c>
      <c r="F25" s="981"/>
      <c r="G25" s="981">
        <v>297</v>
      </c>
      <c r="H25" s="981"/>
      <c r="I25" s="981">
        <v>0</v>
      </c>
      <c r="J25" s="981">
        <v>23</v>
      </c>
    </row>
    <row r="26" spans="1:10" x14ac:dyDescent="0.25">
      <c r="A26" s="981" t="s">
        <v>207</v>
      </c>
      <c r="B26" s="981" t="s">
        <v>251</v>
      </c>
      <c r="C26" s="981" t="s">
        <v>308</v>
      </c>
      <c r="D26" s="981" t="s">
        <v>34</v>
      </c>
      <c r="E26" s="981">
        <v>448</v>
      </c>
      <c r="F26" s="981"/>
      <c r="G26" s="981">
        <v>187</v>
      </c>
      <c r="H26" s="981"/>
      <c r="I26" s="981">
        <v>203</v>
      </c>
      <c r="J26" s="981">
        <v>58</v>
      </c>
    </row>
    <row r="27" spans="1:10" x14ac:dyDescent="0.25">
      <c r="A27" s="981" t="s">
        <v>207</v>
      </c>
      <c r="B27" s="981" t="s">
        <v>251</v>
      </c>
      <c r="C27" s="981" t="s">
        <v>309</v>
      </c>
      <c r="D27" s="981" t="s">
        <v>262</v>
      </c>
      <c r="E27" s="981">
        <v>382</v>
      </c>
      <c r="F27" s="981"/>
      <c r="G27" s="981">
        <v>12</v>
      </c>
      <c r="H27" s="981"/>
      <c r="I27" s="981">
        <v>0</v>
      </c>
      <c r="J27" s="981">
        <v>370</v>
      </c>
    </row>
    <row r="28" spans="1:10" x14ac:dyDescent="0.25">
      <c r="A28" s="981" t="s">
        <v>207</v>
      </c>
      <c r="B28" s="981" t="s">
        <v>251</v>
      </c>
      <c r="C28" s="981" t="s">
        <v>310</v>
      </c>
      <c r="D28" s="981" t="s">
        <v>53</v>
      </c>
      <c r="E28" s="981">
        <v>130</v>
      </c>
      <c r="F28" s="981"/>
      <c r="G28" s="981">
        <v>14</v>
      </c>
      <c r="H28" s="981"/>
      <c r="I28" s="981">
        <v>0</v>
      </c>
      <c r="J28" s="981">
        <v>116</v>
      </c>
    </row>
    <row r="29" spans="1:10" x14ac:dyDescent="0.25">
      <c r="A29" s="981" t="s">
        <v>207</v>
      </c>
      <c r="B29" s="981" t="s">
        <v>251</v>
      </c>
      <c r="C29" s="981" t="s">
        <v>311</v>
      </c>
      <c r="D29" s="981" t="s">
        <v>59</v>
      </c>
      <c r="E29" s="981">
        <v>98</v>
      </c>
      <c r="F29" s="981"/>
      <c r="G29" s="981">
        <v>18</v>
      </c>
      <c r="H29" s="981"/>
      <c r="I29" s="981">
        <v>0</v>
      </c>
      <c r="J29" s="981">
        <v>80</v>
      </c>
    </row>
    <row r="30" spans="1:10" x14ac:dyDescent="0.25">
      <c r="A30" s="981" t="s">
        <v>207</v>
      </c>
      <c r="B30" s="981" t="s">
        <v>251</v>
      </c>
      <c r="C30" s="981" t="s">
        <v>312</v>
      </c>
      <c r="D30" s="981" t="s">
        <v>60</v>
      </c>
      <c r="E30" s="981">
        <v>143</v>
      </c>
      <c r="F30" s="981"/>
      <c r="G30" s="981">
        <v>58</v>
      </c>
      <c r="H30" s="981"/>
      <c r="I30" s="981">
        <v>0</v>
      </c>
      <c r="J30" s="981">
        <v>85</v>
      </c>
    </row>
    <row r="31" spans="1:10" x14ac:dyDescent="0.25">
      <c r="A31" s="981" t="s">
        <v>207</v>
      </c>
      <c r="B31" s="981" t="s">
        <v>251</v>
      </c>
      <c r="C31" s="981" t="s">
        <v>313</v>
      </c>
      <c r="D31" s="981" t="s">
        <v>33</v>
      </c>
      <c r="E31" s="981">
        <v>134</v>
      </c>
      <c r="F31" s="981"/>
      <c r="G31" s="981">
        <v>99</v>
      </c>
      <c r="H31" s="981"/>
      <c r="I31" s="981">
        <v>0</v>
      </c>
      <c r="J31" s="981">
        <v>35</v>
      </c>
    </row>
    <row r="32" spans="1:10" x14ac:dyDescent="0.25">
      <c r="A32" s="981" t="s">
        <v>207</v>
      </c>
      <c r="B32" s="981" t="s">
        <v>251</v>
      </c>
      <c r="C32" s="981" t="s">
        <v>314</v>
      </c>
      <c r="D32" s="981" t="s">
        <v>37</v>
      </c>
      <c r="E32" s="981">
        <v>229</v>
      </c>
      <c r="F32" s="981"/>
      <c r="G32" s="981">
        <v>14</v>
      </c>
      <c r="H32" s="981"/>
      <c r="I32" s="981">
        <v>0</v>
      </c>
      <c r="J32" s="981">
        <v>215</v>
      </c>
    </row>
    <row r="33" spans="1:10" x14ac:dyDescent="0.25">
      <c r="A33" s="981" t="s">
        <v>207</v>
      </c>
      <c r="B33" s="981" t="s">
        <v>251</v>
      </c>
      <c r="C33" s="981" t="s">
        <v>315</v>
      </c>
      <c r="D33" s="981" t="s">
        <v>50</v>
      </c>
      <c r="E33" s="981">
        <v>216</v>
      </c>
      <c r="F33" s="981"/>
      <c r="G33" s="981">
        <v>28</v>
      </c>
      <c r="H33" s="981"/>
      <c r="I33" s="981">
        <v>0</v>
      </c>
      <c r="J33" s="981">
        <v>188</v>
      </c>
    </row>
    <row r="34" spans="1:10" x14ac:dyDescent="0.25">
      <c r="A34" s="981" t="s">
        <v>207</v>
      </c>
      <c r="B34" s="981" t="s">
        <v>251</v>
      </c>
      <c r="C34" s="981" t="s">
        <v>316</v>
      </c>
      <c r="D34" s="981" t="s">
        <v>39</v>
      </c>
      <c r="E34" s="981">
        <v>74</v>
      </c>
      <c r="F34" s="981"/>
      <c r="G34" s="981">
        <v>0</v>
      </c>
      <c r="H34" s="981"/>
      <c r="I34" s="981">
        <v>0</v>
      </c>
      <c r="J34" s="981">
        <v>74</v>
      </c>
    </row>
    <row r="35" spans="1:10" x14ac:dyDescent="0.25">
      <c r="A35" s="981" t="s">
        <v>207</v>
      </c>
      <c r="B35" s="981" t="s">
        <v>251</v>
      </c>
      <c r="C35" s="981" t="s">
        <v>317</v>
      </c>
      <c r="D35" s="981" t="s">
        <v>124</v>
      </c>
      <c r="E35" s="981">
        <v>562</v>
      </c>
      <c r="F35" s="981"/>
      <c r="G35" s="981">
        <v>2</v>
      </c>
      <c r="H35" s="981"/>
      <c r="I35" s="981">
        <v>0</v>
      </c>
      <c r="J35" s="981">
        <v>560</v>
      </c>
    </row>
    <row r="36" spans="1:10" x14ac:dyDescent="0.25">
      <c r="A36" s="981" t="s">
        <v>207</v>
      </c>
      <c r="B36" s="981" t="s">
        <v>251</v>
      </c>
      <c r="C36" s="981" t="s">
        <v>318</v>
      </c>
      <c r="D36" s="981" t="s">
        <v>43</v>
      </c>
      <c r="E36" s="981">
        <v>400</v>
      </c>
      <c r="F36" s="981"/>
      <c r="G36" s="981">
        <v>111</v>
      </c>
      <c r="H36" s="981"/>
      <c r="I36" s="981">
        <v>0</v>
      </c>
      <c r="J36" s="981">
        <v>289</v>
      </c>
    </row>
    <row r="37" spans="1:10" x14ac:dyDescent="0.25">
      <c r="A37" s="981" t="s">
        <v>207</v>
      </c>
      <c r="B37" s="981" t="s">
        <v>252</v>
      </c>
      <c r="C37" s="981" t="s">
        <v>374</v>
      </c>
      <c r="D37" s="981" t="s">
        <v>31</v>
      </c>
      <c r="E37" s="981">
        <v>15</v>
      </c>
      <c r="F37" s="981"/>
      <c r="G37" s="981"/>
      <c r="H37" s="981"/>
      <c r="I37" s="981"/>
      <c r="J37" s="981">
        <v>15</v>
      </c>
    </row>
    <row r="38" spans="1:10" x14ac:dyDescent="0.25">
      <c r="A38" s="981" t="s">
        <v>207</v>
      </c>
      <c r="B38" s="981" t="s">
        <v>252</v>
      </c>
      <c r="C38" s="981" t="s">
        <v>375</v>
      </c>
      <c r="D38" s="981" t="s">
        <v>64</v>
      </c>
      <c r="E38" s="981">
        <v>22</v>
      </c>
      <c r="F38" s="981"/>
      <c r="G38" s="981"/>
      <c r="H38" s="981"/>
      <c r="I38" s="981"/>
      <c r="J38" s="981">
        <v>22</v>
      </c>
    </row>
    <row r="39" spans="1:10" x14ac:dyDescent="0.25">
      <c r="A39" s="981" t="s">
        <v>207</v>
      </c>
      <c r="B39" s="981" t="s">
        <v>252</v>
      </c>
      <c r="C39" s="981" t="s">
        <v>377</v>
      </c>
      <c r="D39" s="981" t="s">
        <v>65</v>
      </c>
      <c r="E39" s="981">
        <v>23</v>
      </c>
      <c r="F39" s="981"/>
      <c r="G39" s="981"/>
      <c r="H39" s="981"/>
      <c r="I39" s="981"/>
      <c r="J39" s="981">
        <v>23</v>
      </c>
    </row>
    <row r="40" spans="1:10" x14ac:dyDescent="0.25">
      <c r="A40" s="981" t="s">
        <v>207</v>
      </c>
      <c r="B40" s="981" t="s">
        <v>252</v>
      </c>
      <c r="C40" s="981" t="s">
        <v>378</v>
      </c>
      <c r="D40" s="981" t="s">
        <v>36</v>
      </c>
      <c r="E40" s="981">
        <v>16</v>
      </c>
      <c r="F40" s="981"/>
      <c r="G40" s="981"/>
      <c r="H40" s="981"/>
      <c r="I40" s="981"/>
      <c r="J40" s="981">
        <v>16</v>
      </c>
    </row>
    <row r="41" spans="1:10" x14ac:dyDescent="0.25">
      <c r="A41" s="981" t="s">
        <v>207</v>
      </c>
      <c r="B41" s="981" t="s">
        <v>252</v>
      </c>
      <c r="C41" s="981" t="s">
        <v>379</v>
      </c>
      <c r="D41" s="981" t="s">
        <v>68</v>
      </c>
      <c r="E41" s="981">
        <v>23</v>
      </c>
      <c r="F41" s="981"/>
      <c r="G41" s="981"/>
      <c r="H41" s="981"/>
      <c r="I41" s="981"/>
      <c r="J41" s="981">
        <v>23</v>
      </c>
    </row>
    <row r="42" spans="1:10" x14ac:dyDescent="0.25">
      <c r="A42" s="981" t="s">
        <v>207</v>
      </c>
      <c r="B42" s="981" t="s">
        <v>252</v>
      </c>
      <c r="C42" s="981" t="s">
        <v>380</v>
      </c>
      <c r="D42" s="981" t="s">
        <v>69</v>
      </c>
      <c r="E42" s="981">
        <v>21</v>
      </c>
      <c r="F42" s="981"/>
      <c r="G42" s="981"/>
      <c r="H42" s="981"/>
      <c r="I42" s="981"/>
      <c r="J42" s="981">
        <v>21</v>
      </c>
    </row>
    <row r="43" spans="1:10" x14ac:dyDescent="0.25">
      <c r="A43" s="981" t="s">
        <v>207</v>
      </c>
      <c r="B43" s="981" t="s">
        <v>252</v>
      </c>
      <c r="C43" s="981" t="s">
        <v>381</v>
      </c>
      <c r="D43" s="981" t="s">
        <v>70</v>
      </c>
      <c r="E43" s="981">
        <v>12</v>
      </c>
      <c r="F43" s="981"/>
      <c r="G43" s="981"/>
      <c r="H43" s="981"/>
      <c r="I43" s="981"/>
      <c r="J43" s="981">
        <v>12</v>
      </c>
    </row>
    <row r="44" spans="1:10" x14ac:dyDescent="0.25">
      <c r="A44" s="981" t="s">
        <v>207</v>
      </c>
      <c r="B44" s="981" t="s">
        <v>252</v>
      </c>
      <c r="C44" s="981" t="s">
        <v>382</v>
      </c>
      <c r="D44" s="981" t="s">
        <v>178</v>
      </c>
      <c r="E44" s="981">
        <v>26</v>
      </c>
      <c r="F44" s="981"/>
      <c r="G44" s="981"/>
      <c r="H44" s="981"/>
      <c r="I44" s="981"/>
      <c r="J44" s="981">
        <v>26</v>
      </c>
    </row>
    <row r="45" spans="1:10" x14ac:dyDescent="0.25">
      <c r="A45" s="981" t="s">
        <v>207</v>
      </c>
      <c r="B45" s="981" t="s">
        <v>252</v>
      </c>
      <c r="C45" s="981" t="s">
        <v>383</v>
      </c>
      <c r="D45" s="981" t="s">
        <v>71</v>
      </c>
      <c r="E45" s="981">
        <v>13</v>
      </c>
      <c r="F45" s="981"/>
      <c r="G45" s="981"/>
      <c r="H45" s="981"/>
      <c r="I45" s="981"/>
      <c r="J45" s="981">
        <v>13</v>
      </c>
    </row>
    <row r="46" spans="1:10" x14ac:dyDescent="0.25">
      <c r="A46" s="981" t="s">
        <v>207</v>
      </c>
      <c r="B46" s="981" t="s">
        <v>252</v>
      </c>
      <c r="C46" s="981" t="s">
        <v>385</v>
      </c>
      <c r="D46" s="981" t="s">
        <v>124</v>
      </c>
      <c r="E46" s="981">
        <v>28</v>
      </c>
      <c r="F46" s="981"/>
      <c r="G46" s="981"/>
      <c r="H46" s="981"/>
      <c r="I46" s="981"/>
      <c r="J46" s="981">
        <v>28</v>
      </c>
    </row>
    <row r="47" spans="1:10" x14ac:dyDescent="0.25">
      <c r="A47" s="981" t="s">
        <v>207</v>
      </c>
      <c r="B47" s="981" t="s">
        <v>252</v>
      </c>
      <c r="C47" s="981" t="s">
        <v>386</v>
      </c>
      <c r="D47" s="981" t="s">
        <v>72</v>
      </c>
      <c r="E47" s="981">
        <v>13</v>
      </c>
      <c r="F47" s="981"/>
      <c r="G47" s="981"/>
      <c r="H47" s="981"/>
      <c r="I47" s="981"/>
      <c r="J47" s="981">
        <v>13</v>
      </c>
    </row>
    <row r="48" spans="1:10" x14ac:dyDescent="0.25">
      <c r="A48" s="981" t="s">
        <v>207</v>
      </c>
      <c r="B48" s="981" t="s">
        <v>252</v>
      </c>
      <c r="C48" s="981" t="s">
        <v>387</v>
      </c>
      <c r="D48" s="981" t="s">
        <v>50</v>
      </c>
      <c r="E48" s="981">
        <v>14</v>
      </c>
      <c r="F48" s="981"/>
      <c r="G48" s="981"/>
      <c r="H48" s="981"/>
      <c r="I48" s="981"/>
      <c r="J48" s="981">
        <v>14</v>
      </c>
    </row>
    <row r="49" spans="1:10" x14ac:dyDescent="0.25">
      <c r="A49" s="981" t="s">
        <v>207</v>
      </c>
      <c r="B49" s="981" t="s">
        <v>252</v>
      </c>
      <c r="C49" s="981" t="s">
        <v>388</v>
      </c>
      <c r="D49" s="981" t="s">
        <v>57</v>
      </c>
      <c r="E49" s="981">
        <v>10</v>
      </c>
      <c r="F49" s="981"/>
      <c r="G49" s="981"/>
      <c r="H49" s="981"/>
      <c r="I49" s="981"/>
      <c r="J49" s="981">
        <v>10</v>
      </c>
    </row>
    <row r="50" spans="1:10" x14ac:dyDescent="0.25">
      <c r="A50" s="981" t="s">
        <v>207</v>
      </c>
      <c r="B50" s="981" t="s">
        <v>252</v>
      </c>
      <c r="C50" s="981" t="s">
        <v>389</v>
      </c>
      <c r="D50" s="981" t="s">
        <v>73</v>
      </c>
      <c r="E50" s="981">
        <v>8</v>
      </c>
      <c r="F50" s="981"/>
      <c r="G50" s="981"/>
      <c r="H50" s="981"/>
      <c r="I50" s="981"/>
      <c r="J50" s="981">
        <v>8</v>
      </c>
    </row>
    <row r="51" spans="1:10" x14ac:dyDescent="0.25">
      <c r="A51" s="981" t="s">
        <v>207</v>
      </c>
      <c r="B51" s="981" t="s">
        <v>252</v>
      </c>
      <c r="C51" s="981" t="s">
        <v>390</v>
      </c>
      <c r="D51" s="981" t="s">
        <v>74</v>
      </c>
      <c r="E51" s="981">
        <v>9</v>
      </c>
      <c r="F51" s="981"/>
      <c r="G51" s="981"/>
      <c r="H51" s="981"/>
      <c r="I51" s="981"/>
      <c r="J51" s="981">
        <v>9</v>
      </c>
    </row>
    <row r="52" spans="1:10" x14ac:dyDescent="0.25">
      <c r="A52" s="981" t="s">
        <v>207</v>
      </c>
      <c r="B52" s="981" t="s">
        <v>252</v>
      </c>
      <c r="C52" s="981" t="s">
        <v>376</v>
      </c>
      <c r="D52" s="981" t="s">
        <v>67</v>
      </c>
      <c r="E52" s="981">
        <v>11</v>
      </c>
      <c r="F52" s="981"/>
      <c r="G52" s="981"/>
      <c r="H52" s="981"/>
      <c r="I52" s="981"/>
      <c r="J52" s="981">
        <v>11</v>
      </c>
    </row>
    <row r="53" spans="1:10" x14ac:dyDescent="0.25">
      <c r="A53" s="981" t="s">
        <v>207</v>
      </c>
      <c r="B53" s="981" t="s">
        <v>252</v>
      </c>
      <c r="C53" s="981" t="s">
        <v>384</v>
      </c>
      <c r="D53" s="981" t="s">
        <v>43</v>
      </c>
      <c r="E53" s="981">
        <v>21</v>
      </c>
      <c r="F53" s="981"/>
      <c r="G53" s="981"/>
      <c r="H53" s="981"/>
      <c r="I53" s="981"/>
      <c r="J53" s="981">
        <v>21</v>
      </c>
    </row>
    <row r="54" spans="1:10" x14ac:dyDescent="0.25">
      <c r="A54" s="981" t="s">
        <v>207</v>
      </c>
      <c r="B54" s="981" t="s">
        <v>253</v>
      </c>
      <c r="C54" s="981" t="s">
        <v>412</v>
      </c>
      <c r="D54" s="981" t="s">
        <v>176</v>
      </c>
      <c r="E54" s="981">
        <v>527</v>
      </c>
      <c r="F54" s="981"/>
      <c r="G54" s="981"/>
      <c r="H54" s="981">
        <v>416</v>
      </c>
      <c r="I54" s="981"/>
      <c r="J54" s="981">
        <v>111</v>
      </c>
    </row>
    <row r="55" spans="1:10" x14ac:dyDescent="0.25">
      <c r="A55" s="981" t="s">
        <v>207</v>
      </c>
      <c r="B55" s="981" t="s">
        <v>253</v>
      </c>
      <c r="C55" s="981" t="s">
        <v>411</v>
      </c>
      <c r="D55" s="981" t="s">
        <v>177</v>
      </c>
      <c r="E55" s="981">
        <v>255</v>
      </c>
      <c r="F55" s="981"/>
      <c r="G55" s="981"/>
      <c r="H55" s="981">
        <v>175</v>
      </c>
      <c r="I55" s="981"/>
      <c r="J55" s="981">
        <v>80</v>
      </c>
    </row>
    <row r="56" spans="1:10" x14ac:dyDescent="0.25">
      <c r="A56" s="981" t="s">
        <v>207</v>
      </c>
      <c r="B56" s="981" t="s">
        <v>253</v>
      </c>
      <c r="C56" s="981" t="s">
        <v>413</v>
      </c>
      <c r="D56" s="981" t="s">
        <v>175</v>
      </c>
      <c r="E56" s="981">
        <v>210</v>
      </c>
      <c r="F56" s="981"/>
      <c r="G56" s="981"/>
      <c r="H56" s="981">
        <v>133</v>
      </c>
      <c r="I56" s="981"/>
      <c r="J56" s="981">
        <v>77</v>
      </c>
    </row>
    <row r="57" spans="1:10" x14ac:dyDescent="0.25">
      <c r="A57" s="981" t="s">
        <v>207</v>
      </c>
      <c r="B57" s="981" t="s">
        <v>254</v>
      </c>
      <c r="C57" s="981" t="s">
        <v>391</v>
      </c>
      <c r="D57" s="981" t="s">
        <v>263</v>
      </c>
      <c r="E57" s="981">
        <v>516</v>
      </c>
      <c r="F57" s="981">
        <v>223</v>
      </c>
      <c r="G57" s="981"/>
      <c r="H57" s="981">
        <v>237</v>
      </c>
      <c r="I57" s="981"/>
      <c r="J57" s="981">
        <v>56</v>
      </c>
    </row>
    <row r="58" spans="1:10" x14ac:dyDescent="0.25">
      <c r="A58" s="981" t="s">
        <v>206</v>
      </c>
      <c r="B58" s="981" t="s">
        <v>251</v>
      </c>
      <c r="C58" s="981" t="s">
        <v>287</v>
      </c>
      <c r="D58" s="981" t="s">
        <v>35</v>
      </c>
      <c r="E58" s="981">
        <v>60</v>
      </c>
      <c r="F58" s="981"/>
      <c r="G58" s="981">
        <v>23</v>
      </c>
      <c r="H58" s="981"/>
      <c r="I58" s="981">
        <v>0</v>
      </c>
      <c r="J58" s="981">
        <v>37</v>
      </c>
    </row>
    <row r="59" spans="1:10" x14ac:dyDescent="0.25">
      <c r="A59" s="981" t="s">
        <v>206</v>
      </c>
      <c r="B59" s="981" t="s">
        <v>251</v>
      </c>
      <c r="C59" s="981" t="s">
        <v>288</v>
      </c>
      <c r="D59" s="981" t="s">
        <v>36</v>
      </c>
      <c r="E59" s="981">
        <v>278</v>
      </c>
      <c r="F59" s="981"/>
      <c r="G59" s="981">
        <v>206</v>
      </c>
      <c r="H59" s="981"/>
      <c r="I59" s="981">
        <v>3</v>
      </c>
      <c r="J59" s="981">
        <v>69</v>
      </c>
    </row>
    <row r="60" spans="1:10" x14ac:dyDescent="0.25">
      <c r="A60" s="981" t="s">
        <v>206</v>
      </c>
      <c r="B60" s="981" t="s">
        <v>251</v>
      </c>
      <c r="C60" s="981" t="s">
        <v>289</v>
      </c>
      <c r="D60" s="981" t="s">
        <v>38</v>
      </c>
      <c r="E60" s="981">
        <v>136</v>
      </c>
      <c r="F60" s="981"/>
      <c r="G60" s="981">
        <v>80</v>
      </c>
      <c r="H60" s="981"/>
      <c r="I60" s="981">
        <v>0</v>
      </c>
      <c r="J60" s="981">
        <v>56</v>
      </c>
    </row>
    <row r="61" spans="1:10" x14ac:dyDescent="0.25">
      <c r="A61" s="981" t="s">
        <v>206</v>
      </c>
      <c r="B61" s="981" t="s">
        <v>251</v>
      </c>
      <c r="C61" s="981" t="s">
        <v>290</v>
      </c>
      <c r="D61" s="981" t="s">
        <v>40</v>
      </c>
      <c r="E61" s="981">
        <v>88</v>
      </c>
      <c r="F61" s="981"/>
      <c r="G61" s="981">
        <v>60</v>
      </c>
      <c r="H61" s="981"/>
      <c r="I61" s="981">
        <v>0</v>
      </c>
      <c r="J61" s="981">
        <v>28</v>
      </c>
    </row>
    <row r="62" spans="1:10" x14ac:dyDescent="0.25">
      <c r="A62" s="981" t="s">
        <v>206</v>
      </c>
      <c r="B62" s="981" t="s">
        <v>251</v>
      </c>
      <c r="C62" s="981" t="s">
        <v>291</v>
      </c>
      <c r="D62" s="981" t="s">
        <v>41</v>
      </c>
      <c r="E62" s="981">
        <v>57</v>
      </c>
      <c r="F62" s="981"/>
      <c r="G62" s="981">
        <v>0</v>
      </c>
      <c r="H62" s="981"/>
      <c r="I62" s="981">
        <v>0</v>
      </c>
      <c r="J62" s="981">
        <v>57</v>
      </c>
    </row>
    <row r="63" spans="1:10" x14ac:dyDescent="0.25">
      <c r="A63" s="981" t="s">
        <v>206</v>
      </c>
      <c r="B63" s="981" t="s">
        <v>251</v>
      </c>
      <c r="C63" s="981" t="s">
        <v>292</v>
      </c>
      <c r="D63" s="981" t="s">
        <v>48</v>
      </c>
      <c r="E63" s="981">
        <v>147</v>
      </c>
      <c r="F63" s="981"/>
      <c r="G63" s="981">
        <v>147</v>
      </c>
      <c r="H63" s="981"/>
      <c r="I63" s="981">
        <v>0</v>
      </c>
      <c r="J63" s="981">
        <v>0</v>
      </c>
    </row>
    <row r="64" spans="1:10" x14ac:dyDescent="0.25">
      <c r="A64" s="981" t="s">
        <v>206</v>
      </c>
      <c r="B64" s="981" t="s">
        <v>251</v>
      </c>
      <c r="C64" s="981" t="s">
        <v>293</v>
      </c>
      <c r="D64" s="981" t="s">
        <v>42</v>
      </c>
      <c r="E64" s="981">
        <v>162</v>
      </c>
      <c r="F64" s="981"/>
      <c r="G64" s="981">
        <v>68</v>
      </c>
      <c r="H64" s="981"/>
      <c r="I64" s="981">
        <v>0</v>
      </c>
      <c r="J64" s="981">
        <v>94</v>
      </c>
    </row>
    <row r="65" spans="1:10" x14ac:dyDescent="0.25">
      <c r="A65" s="981" t="s">
        <v>206</v>
      </c>
      <c r="B65" s="981" t="s">
        <v>251</v>
      </c>
      <c r="C65" s="981" t="s">
        <v>294</v>
      </c>
      <c r="D65" s="981" t="s">
        <v>44</v>
      </c>
      <c r="E65" s="981">
        <v>698</v>
      </c>
      <c r="F65" s="981"/>
      <c r="G65" s="981">
        <v>548</v>
      </c>
      <c r="H65" s="981"/>
      <c r="I65" s="981">
        <v>69</v>
      </c>
      <c r="J65" s="981">
        <v>81</v>
      </c>
    </row>
    <row r="66" spans="1:10" x14ac:dyDescent="0.25">
      <c r="A66" s="981" t="s">
        <v>206</v>
      </c>
      <c r="B66" s="981" t="s">
        <v>251</v>
      </c>
      <c r="C66" s="981" t="s">
        <v>295</v>
      </c>
      <c r="D66" s="981" t="s">
        <v>45</v>
      </c>
      <c r="E66" s="981">
        <v>117</v>
      </c>
      <c r="F66" s="981"/>
      <c r="G66" s="981">
        <v>40</v>
      </c>
      <c r="H66" s="981"/>
      <c r="I66" s="981">
        <v>0</v>
      </c>
      <c r="J66" s="981">
        <v>77</v>
      </c>
    </row>
    <row r="67" spans="1:10" x14ac:dyDescent="0.25">
      <c r="A67" s="981" t="s">
        <v>206</v>
      </c>
      <c r="B67" s="981" t="s">
        <v>251</v>
      </c>
      <c r="C67" s="981" t="s">
        <v>296</v>
      </c>
      <c r="D67" s="981" t="s">
        <v>46</v>
      </c>
      <c r="E67" s="981">
        <v>49</v>
      </c>
      <c r="F67" s="981"/>
      <c r="G67" s="981">
        <v>14</v>
      </c>
      <c r="H67" s="981"/>
      <c r="I67" s="981">
        <v>0</v>
      </c>
      <c r="J67" s="981">
        <v>35</v>
      </c>
    </row>
    <row r="68" spans="1:10" x14ac:dyDescent="0.25">
      <c r="A68" s="981" t="s">
        <v>206</v>
      </c>
      <c r="B68" s="981" t="s">
        <v>251</v>
      </c>
      <c r="C68" s="981" t="s">
        <v>297</v>
      </c>
      <c r="D68" s="981" t="s">
        <v>47</v>
      </c>
      <c r="E68" s="981">
        <v>167</v>
      </c>
      <c r="F68" s="981"/>
      <c r="G68" s="981">
        <v>121</v>
      </c>
      <c r="H68" s="981"/>
      <c r="I68" s="981">
        <v>25</v>
      </c>
      <c r="J68" s="981">
        <v>21</v>
      </c>
    </row>
    <row r="69" spans="1:10" x14ac:dyDescent="0.25">
      <c r="A69" s="981" t="s">
        <v>206</v>
      </c>
      <c r="B69" s="981" t="s">
        <v>251</v>
      </c>
      <c r="C69" s="981" t="s">
        <v>298</v>
      </c>
      <c r="D69" s="981" t="s">
        <v>49</v>
      </c>
      <c r="E69" s="981">
        <v>194</v>
      </c>
      <c r="F69" s="981"/>
      <c r="G69" s="981">
        <v>90</v>
      </c>
      <c r="H69" s="981"/>
      <c r="I69" s="981">
        <v>26</v>
      </c>
      <c r="J69" s="981">
        <v>78</v>
      </c>
    </row>
    <row r="70" spans="1:10" x14ac:dyDescent="0.25">
      <c r="A70" s="981" t="s">
        <v>206</v>
      </c>
      <c r="B70" s="981" t="s">
        <v>251</v>
      </c>
      <c r="C70" s="981" t="s">
        <v>299</v>
      </c>
      <c r="D70" s="981" t="s">
        <v>51</v>
      </c>
      <c r="E70" s="981">
        <v>110</v>
      </c>
      <c r="F70" s="981"/>
      <c r="G70" s="981">
        <v>109</v>
      </c>
      <c r="H70" s="981"/>
      <c r="I70" s="981">
        <v>1</v>
      </c>
      <c r="J70" s="981">
        <v>0</v>
      </c>
    </row>
    <row r="71" spans="1:10" x14ac:dyDescent="0.25">
      <c r="A71" s="981" t="s">
        <v>206</v>
      </c>
      <c r="B71" s="981" t="s">
        <v>251</v>
      </c>
      <c r="C71" s="981" t="s">
        <v>300</v>
      </c>
      <c r="D71" s="981" t="s">
        <v>52</v>
      </c>
      <c r="E71" s="981">
        <v>238</v>
      </c>
      <c r="F71" s="981"/>
      <c r="G71" s="981">
        <v>128</v>
      </c>
      <c r="H71" s="981"/>
      <c r="I71" s="981">
        <v>24</v>
      </c>
      <c r="J71" s="981">
        <v>86</v>
      </c>
    </row>
    <row r="72" spans="1:10" x14ac:dyDescent="0.25">
      <c r="A72" s="981" t="s">
        <v>206</v>
      </c>
      <c r="B72" s="981" t="s">
        <v>251</v>
      </c>
      <c r="C72" s="981" t="s">
        <v>301</v>
      </c>
      <c r="D72" s="981" t="s">
        <v>54</v>
      </c>
      <c r="E72" s="981">
        <v>224</v>
      </c>
      <c r="F72" s="981"/>
      <c r="G72" s="981">
        <v>151</v>
      </c>
      <c r="H72" s="981"/>
      <c r="I72" s="981">
        <v>0</v>
      </c>
      <c r="J72" s="981">
        <v>73</v>
      </c>
    </row>
    <row r="73" spans="1:10" x14ac:dyDescent="0.25">
      <c r="A73" s="981" t="s">
        <v>206</v>
      </c>
      <c r="B73" s="981" t="s">
        <v>251</v>
      </c>
      <c r="C73" s="981" t="s">
        <v>302</v>
      </c>
      <c r="D73" s="981" t="s">
        <v>55</v>
      </c>
      <c r="E73" s="981">
        <v>128</v>
      </c>
      <c r="F73" s="981"/>
      <c r="G73" s="981">
        <v>127</v>
      </c>
      <c r="H73" s="981"/>
      <c r="I73" s="981">
        <v>1</v>
      </c>
      <c r="J73" s="981">
        <v>0</v>
      </c>
    </row>
    <row r="74" spans="1:10" x14ac:dyDescent="0.25">
      <c r="A74" s="981" t="s">
        <v>206</v>
      </c>
      <c r="B74" s="981" t="s">
        <v>251</v>
      </c>
      <c r="C74" s="981" t="s">
        <v>303</v>
      </c>
      <c r="D74" s="981" t="s">
        <v>56</v>
      </c>
      <c r="E74" s="981">
        <v>114</v>
      </c>
      <c r="F74" s="981"/>
      <c r="G74" s="981">
        <v>54</v>
      </c>
      <c r="H74" s="981"/>
      <c r="I74" s="981">
        <v>0</v>
      </c>
      <c r="J74" s="981">
        <v>60</v>
      </c>
    </row>
    <row r="75" spans="1:10" x14ac:dyDescent="0.25">
      <c r="A75" s="981" t="s">
        <v>206</v>
      </c>
      <c r="B75" s="981" t="s">
        <v>251</v>
      </c>
      <c r="C75" s="981" t="s">
        <v>304</v>
      </c>
      <c r="D75" s="981" t="s">
        <v>57</v>
      </c>
      <c r="E75" s="981">
        <v>273</v>
      </c>
      <c r="F75" s="981"/>
      <c r="G75" s="981">
        <v>82</v>
      </c>
      <c r="H75" s="981"/>
      <c r="I75" s="981">
        <v>4</v>
      </c>
      <c r="J75" s="981">
        <v>187</v>
      </c>
    </row>
    <row r="76" spans="1:10" x14ac:dyDescent="0.25">
      <c r="A76" s="981" t="s">
        <v>206</v>
      </c>
      <c r="B76" s="981" t="s">
        <v>251</v>
      </c>
      <c r="C76" s="981" t="s">
        <v>305</v>
      </c>
      <c r="D76" s="981" t="s">
        <v>58</v>
      </c>
      <c r="E76" s="981">
        <v>130</v>
      </c>
      <c r="F76" s="981"/>
      <c r="G76" s="981">
        <v>75</v>
      </c>
      <c r="H76" s="981"/>
      <c r="I76" s="981">
        <v>0</v>
      </c>
      <c r="J76" s="981">
        <v>55</v>
      </c>
    </row>
    <row r="77" spans="1:10" x14ac:dyDescent="0.25">
      <c r="A77" s="981" t="s">
        <v>206</v>
      </c>
      <c r="B77" s="981" t="s">
        <v>251</v>
      </c>
      <c r="C77" s="981" t="s">
        <v>306</v>
      </c>
      <c r="D77" s="981" t="s">
        <v>31</v>
      </c>
      <c r="E77" s="981">
        <v>181</v>
      </c>
      <c r="F77" s="981"/>
      <c r="G77" s="981">
        <v>8</v>
      </c>
      <c r="H77" s="981"/>
      <c r="I77" s="981">
        <v>0</v>
      </c>
      <c r="J77" s="981">
        <v>173</v>
      </c>
    </row>
    <row r="78" spans="1:10" x14ac:dyDescent="0.25">
      <c r="A78" s="981" t="s">
        <v>206</v>
      </c>
      <c r="B78" s="981" t="s">
        <v>251</v>
      </c>
      <c r="C78" s="981" t="s">
        <v>307</v>
      </c>
      <c r="D78" s="981" t="s">
        <v>32</v>
      </c>
      <c r="E78" s="981">
        <v>303</v>
      </c>
      <c r="F78" s="981"/>
      <c r="G78" s="981">
        <v>280</v>
      </c>
      <c r="H78" s="981"/>
      <c r="I78" s="981">
        <v>0</v>
      </c>
      <c r="J78" s="981">
        <v>23</v>
      </c>
    </row>
    <row r="79" spans="1:10" x14ac:dyDescent="0.25">
      <c r="A79" s="981" t="s">
        <v>206</v>
      </c>
      <c r="B79" s="981" t="s">
        <v>251</v>
      </c>
      <c r="C79" s="981" t="s">
        <v>308</v>
      </c>
      <c r="D79" s="981" t="s">
        <v>34</v>
      </c>
      <c r="E79" s="981">
        <v>454</v>
      </c>
      <c r="F79" s="981"/>
      <c r="G79" s="981">
        <v>175</v>
      </c>
      <c r="H79" s="981"/>
      <c r="I79" s="981">
        <v>225</v>
      </c>
      <c r="J79" s="981">
        <v>54</v>
      </c>
    </row>
    <row r="80" spans="1:10" x14ac:dyDescent="0.25">
      <c r="A80" s="981" t="s">
        <v>206</v>
      </c>
      <c r="B80" s="981" t="s">
        <v>251</v>
      </c>
      <c r="C80" s="981" t="s">
        <v>309</v>
      </c>
      <c r="D80" s="981" t="s">
        <v>262</v>
      </c>
      <c r="E80" s="981">
        <v>361</v>
      </c>
      <c r="F80" s="981"/>
      <c r="G80" s="981">
        <v>13</v>
      </c>
      <c r="H80" s="981"/>
      <c r="I80" s="981">
        <v>0</v>
      </c>
      <c r="J80" s="981">
        <v>348</v>
      </c>
    </row>
    <row r="81" spans="1:10" x14ac:dyDescent="0.25">
      <c r="A81" s="981" t="s">
        <v>206</v>
      </c>
      <c r="B81" s="981" t="s">
        <v>251</v>
      </c>
      <c r="C81" s="981" t="s">
        <v>310</v>
      </c>
      <c r="D81" s="981" t="s">
        <v>53</v>
      </c>
      <c r="E81" s="981">
        <v>129</v>
      </c>
      <c r="F81" s="981"/>
      <c r="G81" s="981">
        <v>14</v>
      </c>
      <c r="H81" s="981"/>
      <c r="I81" s="981">
        <v>0</v>
      </c>
      <c r="J81" s="981">
        <v>115</v>
      </c>
    </row>
    <row r="82" spans="1:10" x14ac:dyDescent="0.25">
      <c r="A82" s="981" t="s">
        <v>206</v>
      </c>
      <c r="B82" s="981" t="s">
        <v>251</v>
      </c>
      <c r="C82" s="981" t="s">
        <v>311</v>
      </c>
      <c r="D82" s="981" t="s">
        <v>59</v>
      </c>
      <c r="E82" s="981">
        <v>95</v>
      </c>
      <c r="F82" s="981"/>
      <c r="G82" s="981">
        <v>21</v>
      </c>
      <c r="H82" s="981"/>
      <c r="I82" s="981">
        <v>0</v>
      </c>
      <c r="J82" s="981">
        <v>74</v>
      </c>
    </row>
    <row r="83" spans="1:10" x14ac:dyDescent="0.25">
      <c r="A83" s="981" t="s">
        <v>206</v>
      </c>
      <c r="B83" s="981" t="s">
        <v>251</v>
      </c>
      <c r="C83" s="981" t="s">
        <v>312</v>
      </c>
      <c r="D83" s="981" t="s">
        <v>60</v>
      </c>
      <c r="E83" s="981">
        <v>144</v>
      </c>
      <c r="F83" s="981"/>
      <c r="G83" s="981">
        <v>65</v>
      </c>
      <c r="H83" s="981"/>
      <c r="I83" s="981">
        <v>0</v>
      </c>
      <c r="J83" s="981">
        <v>79</v>
      </c>
    </row>
    <row r="84" spans="1:10" x14ac:dyDescent="0.25">
      <c r="A84" s="981" t="s">
        <v>206</v>
      </c>
      <c r="B84" s="981" t="s">
        <v>251</v>
      </c>
      <c r="C84" s="981" t="s">
        <v>313</v>
      </c>
      <c r="D84" s="981" t="s">
        <v>33</v>
      </c>
      <c r="E84" s="981">
        <v>122</v>
      </c>
      <c r="F84" s="981"/>
      <c r="G84" s="981">
        <v>95</v>
      </c>
      <c r="H84" s="981"/>
      <c r="I84" s="981">
        <v>0</v>
      </c>
      <c r="J84" s="981">
        <v>27</v>
      </c>
    </row>
    <row r="85" spans="1:10" x14ac:dyDescent="0.25">
      <c r="A85" s="981" t="s">
        <v>206</v>
      </c>
      <c r="B85" s="981" t="s">
        <v>251</v>
      </c>
      <c r="C85" s="981" t="s">
        <v>314</v>
      </c>
      <c r="D85" s="981" t="s">
        <v>37</v>
      </c>
      <c r="E85" s="981">
        <v>221</v>
      </c>
      <c r="F85" s="981"/>
      <c r="G85" s="981">
        <v>14</v>
      </c>
      <c r="H85" s="981"/>
      <c r="I85" s="981">
        <v>0</v>
      </c>
      <c r="J85" s="981">
        <v>207</v>
      </c>
    </row>
    <row r="86" spans="1:10" x14ac:dyDescent="0.25">
      <c r="A86" s="981" t="s">
        <v>206</v>
      </c>
      <c r="B86" s="981" t="s">
        <v>251</v>
      </c>
      <c r="C86" s="981" t="s">
        <v>315</v>
      </c>
      <c r="D86" s="981" t="s">
        <v>50</v>
      </c>
      <c r="E86" s="981">
        <v>217</v>
      </c>
      <c r="F86" s="981"/>
      <c r="G86" s="981">
        <v>30</v>
      </c>
      <c r="H86" s="981"/>
      <c r="I86" s="981">
        <v>0</v>
      </c>
      <c r="J86" s="981">
        <v>187</v>
      </c>
    </row>
    <row r="87" spans="1:10" x14ac:dyDescent="0.25">
      <c r="A87" s="981" t="s">
        <v>206</v>
      </c>
      <c r="B87" s="981" t="s">
        <v>251</v>
      </c>
      <c r="C87" s="981" t="s">
        <v>316</v>
      </c>
      <c r="D87" s="981" t="s">
        <v>39</v>
      </c>
      <c r="E87" s="981">
        <v>72</v>
      </c>
      <c r="F87" s="981"/>
      <c r="G87" s="981">
        <v>0</v>
      </c>
      <c r="H87" s="981"/>
      <c r="I87" s="981">
        <v>0</v>
      </c>
      <c r="J87" s="981">
        <v>72</v>
      </c>
    </row>
    <row r="88" spans="1:10" x14ac:dyDescent="0.25">
      <c r="A88" s="981" t="s">
        <v>206</v>
      </c>
      <c r="B88" s="981" t="s">
        <v>251</v>
      </c>
      <c r="C88" s="981" t="s">
        <v>317</v>
      </c>
      <c r="D88" s="981" t="s">
        <v>124</v>
      </c>
      <c r="E88" s="981">
        <v>544</v>
      </c>
      <c r="F88" s="981"/>
      <c r="G88" s="981">
        <v>0</v>
      </c>
      <c r="H88" s="981"/>
      <c r="I88" s="981">
        <v>0</v>
      </c>
      <c r="J88" s="981">
        <v>544</v>
      </c>
    </row>
    <row r="89" spans="1:10" x14ac:dyDescent="0.25">
      <c r="A89" s="981" t="s">
        <v>206</v>
      </c>
      <c r="B89" s="981" t="s">
        <v>251</v>
      </c>
      <c r="C89" s="981" t="s">
        <v>318</v>
      </c>
      <c r="D89" s="981" t="s">
        <v>43</v>
      </c>
      <c r="E89" s="981">
        <v>400</v>
      </c>
      <c r="F89" s="981"/>
      <c r="G89" s="981">
        <v>112</v>
      </c>
      <c r="H89" s="981"/>
      <c r="I89" s="981">
        <v>0</v>
      </c>
      <c r="J89" s="981">
        <v>288</v>
      </c>
    </row>
    <row r="90" spans="1:10" x14ac:dyDescent="0.25">
      <c r="A90" s="981" t="s">
        <v>206</v>
      </c>
      <c r="B90" s="981" t="s">
        <v>252</v>
      </c>
      <c r="C90" s="981" t="s">
        <v>374</v>
      </c>
      <c r="D90" s="981" t="s">
        <v>31</v>
      </c>
      <c r="E90" s="981">
        <v>18</v>
      </c>
      <c r="F90" s="981"/>
      <c r="G90" s="981"/>
      <c r="H90" s="981"/>
      <c r="I90" s="981"/>
      <c r="J90" s="981">
        <v>18</v>
      </c>
    </row>
    <row r="91" spans="1:10" x14ac:dyDescent="0.25">
      <c r="A91" s="981" t="s">
        <v>206</v>
      </c>
      <c r="B91" s="981" t="s">
        <v>252</v>
      </c>
      <c r="C91" s="981" t="s">
        <v>375</v>
      </c>
      <c r="D91" s="981" t="s">
        <v>64</v>
      </c>
      <c r="E91" s="981">
        <v>18</v>
      </c>
      <c r="F91" s="981"/>
      <c r="G91" s="981"/>
      <c r="H91" s="981"/>
      <c r="I91" s="981"/>
      <c r="J91" s="981">
        <v>18</v>
      </c>
    </row>
    <row r="92" spans="1:10" x14ac:dyDescent="0.25">
      <c r="A92" s="981" t="s">
        <v>206</v>
      </c>
      <c r="B92" s="981" t="s">
        <v>252</v>
      </c>
      <c r="C92" s="981" t="s">
        <v>377</v>
      </c>
      <c r="D92" s="981" t="s">
        <v>65</v>
      </c>
      <c r="E92" s="981">
        <v>21</v>
      </c>
      <c r="F92" s="981"/>
      <c r="G92" s="981"/>
      <c r="H92" s="981"/>
      <c r="I92" s="981"/>
      <c r="J92" s="981">
        <v>21</v>
      </c>
    </row>
    <row r="93" spans="1:10" x14ac:dyDescent="0.25">
      <c r="A93" s="981" t="s">
        <v>206</v>
      </c>
      <c r="B93" s="981" t="s">
        <v>252</v>
      </c>
      <c r="C93" s="981" t="s">
        <v>378</v>
      </c>
      <c r="D93" s="981" t="s">
        <v>36</v>
      </c>
      <c r="E93" s="981">
        <v>18</v>
      </c>
      <c r="F93" s="981"/>
      <c r="G93" s="981"/>
      <c r="H93" s="981"/>
      <c r="I93" s="981"/>
      <c r="J93" s="981">
        <v>18</v>
      </c>
    </row>
    <row r="94" spans="1:10" x14ac:dyDescent="0.25">
      <c r="A94" s="981" t="s">
        <v>206</v>
      </c>
      <c r="B94" s="981" t="s">
        <v>252</v>
      </c>
      <c r="C94" s="981" t="s">
        <v>379</v>
      </c>
      <c r="D94" s="981" t="s">
        <v>68</v>
      </c>
      <c r="E94" s="981">
        <v>20</v>
      </c>
      <c r="F94" s="981"/>
      <c r="G94" s="981"/>
      <c r="H94" s="981"/>
      <c r="I94" s="981"/>
      <c r="J94" s="981">
        <v>20</v>
      </c>
    </row>
    <row r="95" spans="1:10" x14ac:dyDescent="0.25">
      <c r="A95" s="981" t="s">
        <v>206</v>
      </c>
      <c r="B95" s="981" t="s">
        <v>252</v>
      </c>
      <c r="C95" s="981" t="s">
        <v>380</v>
      </c>
      <c r="D95" s="981" t="s">
        <v>69</v>
      </c>
      <c r="E95" s="981">
        <v>17</v>
      </c>
      <c r="F95" s="981"/>
      <c r="G95" s="981"/>
      <c r="H95" s="981"/>
      <c r="I95" s="981"/>
      <c r="J95" s="981">
        <v>17</v>
      </c>
    </row>
    <row r="96" spans="1:10" x14ac:dyDescent="0.25">
      <c r="A96" s="981" t="s">
        <v>206</v>
      </c>
      <c r="B96" s="981" t="s">
        <v>252</v>
      </c>
      <c r="C96" s="981" t="s">
        <v>381</v>
      </c>
      <c r="D96" s="981" t="s">
        <v>70</v>
      </c>
      <c r="E96" s="981">
        <v>12</v>
      </c>
      <c r="F96" s="981"/>
      <c r="G96" s="981"/>
      <c r="H96" s="981"/>
      <c r="I96" s="981"/>
      <c r="J96" s="981">
        <v>12</v>
      </c>
    </row>
    <row r="97" spans="1:10" x14ac:dyDescent="0.25">
      <c r="A97" s="981" t="s">
        <v>206</v>
      </c>
      <c r="B97" s="981" t="s">
        <v>252</v>
      </c>
      <c r="C97" s="981" t="s">
        <v>382</v>
      </c>
      <c r="D97" s="981" t="s">
        <v>178</v>
      </c>
      <c r="E97" s="981">
        <v>24</v>
      </c>
      <c r="F97" s="981"/>
      <c r="G97" s="981"/>
      <c r="H97" s="981"/>
      <c r="I97" s="981"/>
      <c r="J97" s="981">
        <v>24</v>
      </c>
    </row>
    <row r="98" spans="1:10" x14ac:dyDescent="0.25">
      <c r="A98" s="981" t="s">
        <v>206</v>
      </c>
      <c r="B98" s="981" t="s">
        <v>252</v>
      </c>
      <c r="C98" s="981" t="s">
        <v>383</v>
      </c>
      <c r="D98" s="981" t="s">
        <v>71</v>
      </c>
      <c r="E98" s="981">
        <v>13</v>
      </c>
      <c r="F98" s="981"/>
      <c r="G98" s="981"/>
      <c r="H98" s="981"/>
      <c r="I98" s="981"/>
      <c r="J98" s="981">
        <v>13</v>
      </c>
    </row>
    <row r="99" spans="1:10" x14ac:dyDescent="0.25">
      <c r="A99" s="981" t="s">
        <v>206</v>
      </c>
      <c r="B99" s="981" t="s">
        <v>252</v>
      </c>
      <c r="C99" s="981" t="s">
        <v>385</v>
      </c>
      <c r="D99" s="981" t="s">
        <v>124</v>
      </c>
      <c r="E99" s="981">
        <v>25</v>
      </c>
      <c r="F99" s="981"/>
      <c r="G99" s="981"/>
      <c r="H99" s="981"/>
      <c r="I99" s="981"/>
      <c r="J99" s="981">
        <v>25</v>
      </c>
    </row>
    <row r="100" spans="1:10" x14ac:dyDescent="0.25">
      <c r="A100" s="981" t="s">
        <v>206</v>
      </c>
      <c r="B100" s="981" t="s">
        <v>252</v>
      </c>
      <c r="C100" s="981" t="s">
        <v>386</v>
      </c>
      <c r="D100" s="981" t="s">
        <v>72</v>
      </c>
      <c r="E100" s="981">
        <v>13</v>
      </c>
      <c r="F100" s="981"/>
      <c r="G100" s="981"/>
      <c r="H100" s="981"/>
      <c r="I100" s="981"/>
      <c r="J100" s="981">
        <v>13</v>
      </c>
    </row>
    <row r="101" spans="1:10" x14ac:dyDescent="0.25">
      <c r="A101" s="981" t="s">
        <v>206</v>
      </c>
      <c r="B101" s="981" t="s">
        <v>252</v>
      </c>
      <c r="C101" s="981" t="s">
        <v>387</v>
      </c>
      <c r="D101" s="981" t="s">
        <v>50</v>
      </c>
      <c r="E101" s="981">
        <v>16</v>
      </c>
      <c r="F101" s="981"/>
      <c r="G101" s="981"/>
      <c r="H101" s="981"/>
      <c r="I101" s="981"/>
      <c r="J101" s="981">
        <v>16</v>
      </c>
    </row>
    <row r="102" spans="1:10" x14ac:dyDescent="0.25">
      <c r="A102" s="981" t="s">
        <v>206</v>
      </c>
      <c r="B102" s="981" t="s">
        <v>252</v>
      </c>
      <c r="C102" s="981" t="s">
        <v>388</v>
      </c>
      <c r="D102" s="981" t="s">
        <v>57</v>
      </c>
      <c r="E102" s="981">
        <v>10</v>
      </c>
      <c r="F102" s="981"/>
      <c r="G102" s="981"/>
      <c r="H102" s="981"/>
      <c r="I102" s="981"/>
      <c r="J102" s="981">
        <v>10</v>
      </c>
    </row>
    <row r="103" spans="1:10" x14ac:dyDescent="0.25">
      <c r="A103" s="981" t="s">
        <v>206</v>
      </c>
      <c r="B103" s="981" t="s">
        <v>252</v>
      </c>
      <c r="C103" s="981" t="s">
        <v>389</v>
      </c>
      <c r="D103" s="981" t="s">
        <v>73</v>
      </c>
      <c r="E103" s="981">
        <v>5</v>
      </c>
      <c r="F103" s="981"/>
      <c r="G103" s="981"/>
      <c r="H103" s="981"/>
      <c r="I103" s="981"/>
      <c r="J103" s="981">
        <v>5</v>
      </c>
    </row>
    <row r="104" spans="1:10" x14ac:dyDescent="0.25">
      <c r="A104" s="981" t="s">
        <v>206</v>
      </c>
      <c r="B104" s="981" t="s">
        <v>252</v>
      </c>
      <c r="C104" s="981" t="s">
        <v>390</v>
      </c>
      <c r="D104" s="981" t="s">
        <v>74</v>
      </c>
      <c r="E104" s="981">
        <v>7</v>
      </c>
      <c r="F104" s="981"/>
      <c r="G104" s="981"/>
      <c r="H104" s="981"/>
      <c r="I104" s="981"/>
      <c r="J104" s="981">
        <v>7</v>
      </c>
    </row>
    <row r="105" spans="1:10" x14ac:dyDescent="0.25">
      <c r="A105" s="981" t="s">
        <v>206</v>
      </c>
      <c r="B105" s="981" t="s">
        <v>252</v>
      </c>
      <c r="C105" s="981" t="s">
        <v>376</v>
      </c>
      <c r="D105" s="981" t="s">
        <v>67</v>
      </c>
      <c r="E105" s="981">
        <v>12</v>
      </c>
      <c r="F105" s="981"/>
      <c r="G105" s="981"/>
      <c r="H105" s="981"/>
      <c r="I105" s="981"/>
      <c r="J105" s="981">
        <v>12</v>
      </c>
    </row>
    <row r="106" spans="1:10" x14ac:dyDescent="0.25">
      <c r="A106" s="981" t="s">
        <v>206</v>
      </c>
      <c r="B106" s="981" t="s">
        <v>252</v>
      </c>
      <c r="C106" s="981" t="s">
        <v>384</v>
      </c>
      <c r="D106" s="981" t="s">
        <v>43</v>
      </c>
      <c r="E106" s="981">
        <v>21</v>
      </c>
      <c r="F106" s="981"/>
      <c r="G106" s="981"/>
      <c r="H106" s="981"/>
      <c r="I106" s="981"/>
      <c r="J106" s="981">
        <v>21</v>
      </c>
    </row>
    <row r="107" spans="1:10" x14ac:dyDescent="0.25">
      <c r="A107" s="981" t="s">
        <v>206</v>
      </c>
      <c r="B107" s="981" t="s">
        <v>253</v>
      </c>
      <c r="C107" s="981" t="s">
        <v>412</v>
      </c>
      <c r="D107" s="981" t="s">
        <v>176</v>
      </c>
      <c r="E107" s="981">
        <v>445</v>
      </c>
      <c r="F107" s="981"/>
      <c r="G107" s="981"/>
      <c r="H107" s="981">
        <v>340</v>
      </c>
      <c r="I107" s="981"/>
      <c r="J107" s="981">
        <v>105</v>
      </c>
    </row>
    <row r="108" spans="1:10" x14ac:dyDescent="0.25">
      <c r="A108" s="981" t="s">
        <v>206</v>
      </c>
      <c r="B108" s="981" t="s">
        <v>253</v>
      </c>
      <c r="C108" s="981" t="s">
        <v>411</v>
      </c>
      <c r="D108" s="981" t="s">
        <v>177</v>
      </c>
      <c r="E108" s="981">
        <v>242</v>
      </c>
      <c r="F108" s="981"/>
      <c r="G108" s="981"/>
      <c r="H108" s="981">
        <v>163</v>
      </c>
      <c r="I108" s="981"/>
      <c r="J108" s="981">
        <v>79</v>
      </c>
    </row>
    <row r="109" spans="1:10" x14ac:dyDescent="0.25">
      <c r="A109" s="981" t="s">
        <v>206</v>
      </c>
      <c r="B109" s="981" t="s">
        <v>253</v>
      </c>
      <c r="C109" s="981" t="s">
        <v>413</v>
      </c>
      <c r="D109" s="981" t="s">
        <v>175</v>
      </c>
      <c r="E109" s="981">
        <v>193</v>
      </c>
      <c r="F109" s="981"/>
      <c r="G109" s="981"/>
      <c r="H109" s="981">
        <v>126</v>
      </c>
      <c r="I109" s="981"/>
      <c r="J109" s="981">
        <v>67</v>
      </c>
    </row>
    <row r="110" spans="1:10" x14ac:dyDescent="0.25">
      <c r="A110" s="981" t="s">
        <v>206</v>
      </c>
      <c r="B110" s="981" t="s">
        <v>254</v>
      </c>
      <c r="C110" s="981" t="s">
        <v>391</v>
      </c>
      <c r="D110" s="981" t="s">
        <v>263</v>
      </c>
      <c r="E110" s="981">
        <v>518</v>
      </c>
      <c r="F110" s="981">
        <v>230</v>
      </c>
      <c r="G110" s="981"/>
      <c r="H110" s="981">
        <v>238</v>
      </c>
      <c r="I110" s="981"/>
      <c r="J110" s="981">
        <v>50</v>
      </c>
    </row>
    <row r="111" spans="1:10" x14ac:dyDescent="0.25">
      <c r="A111" s="981" t="s">
        <v>205</v>
      </c>
      <c r="B111" s="981" t="s">
        <v>251</v>
      </c>
      <c r="C111" s="981" t="s">
        <v>287</v>
      </c>
      <c r="D111" s="981" t="s">
        <v>35</v>
      </c>
      <c r="E111" s="981">
        <v>47</v>
      </c>
      <c r="F111" s="981"/>
      <c r="G111" s="981">
        <v>21</v>
      </c>
      <c r="H111" s="981"/>
      <c r="I111" s="981">
        <v>0</v>
      </c>
      <c r="J111" s="981">
        <v>26</v>
      </c>
    </row>
    <row r="112" spans="1:10" x14ac:dyDescent="0.25">
      <c r="A112" s="981" t="s">
        <v>205</v>
      </c>
      <c r="B112" s="981" t="s">
        <v>251</v>
      </c>
      <c r="C112" s="981" t="s">
        <v>288</v>
      </c>
      <c r="D112" s="981" t="s">
        <v>36</v>
      </c>
      <c r="E112" s="981">
        <v>260</v>
      </c>
      <c r="F112" s="981"/>
      <c r="G112" s="981">
        <v>190</v>
      </c>
      <c r="H112" s="981"/>
      <c r="I112" s="981">
        <v>5</v>
      </c>
      <c r="J112" s="981">
        <v>65</v>
      </c>
    </row>
    <row r="113" spans="1:10" x14ac:dyDescent="0.25">
      <c r="A113" s="981" t="s">
        <v>205</v>
      </c>
      <c r="B113" s="981" t="s">
        <v>251</v>
      </c>
      <c r="C113" s="981" t="s">
        <v>289</v>
      </c>
      <c r="D113" s="981" t="s">
        <v>38</v>
      </c>
      <c r="E113" s="981">
        <v>136</v>
      </c>
      <c r="F113" s="981"/>
      <c r="G113" s="981">
        <v>83</v>
      </c>
      <c r="H113" s="981"/>
      <c r="I113" s="981">
        <v>0</v>
      </c>
      <c r="J113" s="981">
        <v>53</v>
      </c>
    </row>
    <row r="114" spans="1:10" x14ac:dyDescent="0.25">
      <c r="A114" s="981" t="s">
        <v>205</v>
      </c>
      <c r="B114" s="981" t="s">
        <v>251</v>
      </c>
      <c r="C114" s="981" t="s">
        <v>290</v>
      </c>
      <c r="D114" s="981" t="s">
        <v>40</v>
      </c>
      <c r="E114" s="981">
        <v>82</v>
      </c>
      <c r="F114" s="981"/>
      <c r="G114" s="981">
        <v>55</v>
      </c>
      <c r="H114" s="981"/>
      <c r="I114" s="981">
        <v>0</v>
      </c>
      <c r="J114" s="981">
        <v>27</v>
      </c>
    </row>
    <row r="115" spans="1:10" x14ac:dyDescent="0.25">
      <c r="A115" s="981" t="s">
        <v>205</v>
      </c>
      <c r="B115" s="981" t="s">
        <v>251</v>
      </c>
      <c r="C115" s="981" t="s">
        <v>291</v>
      </c>
      <c r="D115" s="981" t="s">
        <v>41</v>
      </c>
      <c r="E115" s="981">
        <v>55</v>
      </c>
      <c r="F115" s="981"/>
      <c r="G115" s="981">
        <v>2</v>
      </c>
      <c r="H115" s="981"/>
      <c r="I115" s="981">
        <v>0</v>
      </c>
      <c r="J115" s="981">
        <v>53</v>
      </c>
    </row>
    <row r="116" spans="1:10" x14ac:dyDescent="0.25">
      <c r="A116" s="981" t="s">
        <v>205</v>
      </c>
      <c r="B116" s="981" t="s">
        <v>251</v>
      </c>
      <c r="C116" s="981" t="s">
        <v>292</v>
      </c>
      <c r="D116" s="981" t="s">
        <v>48</v>
      </c>
      <c r="E116" s="981">
        <v>140</v>
      </c>
      <c r="F116" s="981"/>
      <c r="G116" s="981">
        <v>140</v>
      </c>
      <c r="H116" s="981"/>
      <c r="I116" s="981">
        <v>0</v>
      </c>
      <c r="J116" s="981">
        <v>0</v>
      </c>
    </row>
    <row r="117" spans="1:10" x14ac:dyDescent="0.25">
      <c r="A117" s="981" t="s">
        <v>205</v>
      </c>
      <c r="B117" s="981" t="s">
        <v>251</v>
      </c>
      <c r="C117" s="981" t="s">
        <v>293</v>
      </c>
      <c r="D117" s="981" t="s">
        <v>42</v>
      </c>
      <c r="E117" s="981">
        <v>148</v>
      </c>
      <c r="F117" s="981"/>
      <c r="G117" s="981">
        <v>53</v>
      </c>
      <c r="H117" s="981"/>
      <c r="I117" s="981">
        <v>0</v>
      </c>
      <c r="J117" s="981">
        <v>95</v>
      </c>
    </row>
    <row r="118" spans="1:10" x14ac:dyDescent="0.25">
      <c r="A118" s="981" t="s">
        <v>205</v>
      </c>
      <c r="B118" s="981" t="s">
        <v>251</v>
      </c>
      <c r="C118" s="981" t="s">
        <v>294</v>
      </c>
      <c r="D118" s="981" t="s">
        <v>44</v>
      </c>
      <c r="E118" s="981">
        <v>661</v>
      </c>
      <c r="F118" s="981"/>
      <c r="G118" s="981">
        <v>525</v>
      </c>
      <c r="H118" s="981"/>
      <c r="I118" s="981">
        <v>68</v>
      </c>
      <c r="J118" s="981">
        <v>68</v>
      </c>
    </row>
    <row r="119" spans="1:10" x14ac:dyDescent="0.25">
      <c r="A119" s="981" t="s">
        <v>205</v>
      </c>
      <c r="B119" s="981" t="s">
        <v>251</v>
      </c>
      <c r="C119" s="981" t="s">
        <v>295</v>
      </c>
      <c r="D119" s="981" t="s">
        <v>45</v>
      </c>
      <c r="E119" s="981">
        <v>111</v>
      </c>
      <c r="F119" s="981"/>
      <c r="G119" s="981">
        <v>41</v>
      </c>
      <c r="H119" s="981"/>
      <c r="I119" s="981">
        <v>0</v>
      </c>
      <c r="J119" s="981">
        <v>70</v>
      </c>
    </row>
    <row r="120" spans="1:10" x14ac:dyDescent="0.25">
      <c r="A120" s="981" t="s">
        <v>205</v>
      </c>
      <c r="B120" s="981" t="s">
        <v>251</v>
      </c>
      <c r="C120" s="981" t="s">
        <v>296</v>
      </c>
      <c r="D120" s="981" t="s">
        <v>46</v>
      </c>
      <c r="E120" s="981">
        <v>34</v>
      </c>
      <c r="F120" s="981"/>
      <c r="G120" s="981">
        <v>11</v>
      </c>
      <c r="H120" s="981"/>
      <c r="I120" s="981">
        <v>0</v>
      </c>
      <c r="J120" s="981">
        <v>23</v>
      </c>
    </row>
    <row r="121" spans="1:10" x14ac:dyDescent="0.25">
      <c r="A121" s="981" t="s">
        <v>205</v>
      </c>
      <c r="B121" s="981" t="s">
        <v>251</v>
      </c>
      <c r="C121" s="981" t="s">
        <v>297</v>
      </c>
      <c r="D121" s="981" t="s">
        <v>47</v>
      </c>
      <c r="E121" s="981">
        <v>161</v>
      </c>
      <c r="F121" s="981"/>
      <c r="G121" s="981">
        <v>110</v>
      </c>
      <c r="H121" s="981"/>
      <c r="I121" s="981">
        <v>20</v>
      </c>
      <c r="J121" s="981">
        <v>31</v>
      </c>
    </row>
    <row r="122" spans="1:10" x14ac:dyDescent="0.25">
      <c r="A122" s="981" t="s">
        <v>205</v>
      </c>
      <c r="B122" s="981" t="s">
        <v>251</v>
      </c>
      <c r="C122" s="981" t="s">
        <v>298</v>
      </c>
      <c r="D122" s="981" t="s">
        <v>49</v>
      </c>
      <c r="E122" s="981">
        <v>208</v>
      </c>
      <c r="F122" s="981"/>
      <c r="G122" s="981">
        <v>108</v>
      </c>
      <c r="H122" s="981"/>
      <c r="I122" s="981">
        <v>22</v>
      </c>
      <c r="J122" s="981">
        <v>78</v>
      </c>
    </row>
    <row r="123" spans="1:10" x14ac:dyDescent="0.25">
      <c r="A123" s="981" t="s">
        <v>205</v>
      </c>
      <c r="B123" s="981" t="s">
        <v>251</v>
      </c>
      <c r="C123" s="981" t="s">
        <v>299</v>
      </c>
      <c r="D123" s="981" t="s">
        <v>51</v>
      </c>
      <c r="E123" s="981">
        <v>98</v>
      </c>
      <c r="F123" s="981"/>
      <c r="G123" s="981">
        <v>98</v>
      </c>
      <c r="H123" s="981"/>
      <c r="I123" s="981">
        <v>0</v>
      </c>
      <c r="J123" s="981">
        <v>0</v>
      </c>
    </row>
    <row r="124" spans="1:10" x14ac:dyDescent="0.25">
      <c r="A124" s="981" t="s">
        <v>205</v>
      </c>
      <c r="B124" s="981" t="s">
        <v>251</v>
      </c>
      <c r="C124" s="981" t="s">
        <v>300</v>
      </c>
      <c r="D124" s="981" t="s">
        <v>52</v>
      </c>
      <c r="E124" s="981">
        <v>222</v>
      </c>
      <c r="F124" s="981"/>
      <c r="G124" s="981">
        <v>126</v>
      </c>
      <c r="H124" s="981"/>
      <c r="I124" s="981">
        <v>23</v>
      </c>
      <c r="J124" s="981">
        <v>73</v>
      </c>
    </row>
    <row r="125" spans="1:10" x14ac:dyDescent="0.25">
      <c r="A125" s="981" t="s">
        <v>205</v>
      </c>
      <c r="B125" s="981" t="s">
        <v>251</v>
      </c>
      <c r="C125" s="981" t="s">
        <v>301</v>
      </c>
      <c r="D125" s="981" t="s">
        <v>54</v>
      </c>
      <c r="E125" s="981">
        <v>218</v>
      </c>
      <c r="F125" s="981"/>
      <c r="G125" s="981">
        <v>147</v>
      </c>
      <c r="H125" s="981"/>
      <c r="I125" s="981">
        <v>0</v>
      </c>
      <c r="J125" s="981">
        <v>71</v>
      </c>
    </row>
    <row r="126" spans="1:10" x14ac:dyDescent="0.25">
      <c r="A126" s="981" t="s">
        <v>205</v>
      </c>
      <c r="B126" s="981" t="s">
        <v>251</v>
      </c>
      <c r="C126" s="981" t="s">
        <v>302</v>
      </c>
      <c r="D126" s="981" t="s">
        <v>55</v>
      </c>
      <c r="E126" s="981">
        <v>126</v>
      </c>
      <c r="F126" s="981"/>
      <c r="G126" s="981">
        <v>126</v>
      </c>
      <c r="H126" s="981"/>
      <c r="I126" s="981">
        <v>0</v>
      </c>
      <c r="J126" s="981">
        <v>0</v>
      </c>
    </row>
    <row r="127" spans="1:10" x14ac:dyDescent="0.25">
      <c r="A127" s="981" t="s">
        <v>205</v>
      </c>
      <c r="B127" s="981" t="s">
        <v>251</v>
      </c>
      <c r="C127" s="981" t="s">
        <v>303</v>
      </c>
      <c r="D127" s="981" t="s">
        <v>56</v>
      </c>
      <c r="E127" s="981">
        <v>108</v>
      </c>
      <c r="F127" s="981"/>
      <c r="G127" s="981">
        <v>53</v>
      </c>
      <c r="H127" s="981"/>
      <c r="I127" s="981">
        <v>0</v>
      </c>
      <c r="J127" s="981">
        <v>55</v>
      </c>
    </row>
    <row r="128" spans="1:10" x14ac:dyDescent="0.25">
      <c r="A128" s="981" t="s">
        <v>205</v>
      </c>
      <c r="B128" s="981" t="s">
        <v>251</v>
      </c>
      <c r="C128" s="981" t="s">
        <v>304</v>
      </c>
      <c r="D128" s="981" t="s">
        <v>57</v>
      </c>
      <c r="E128" s="981">
        <v>252</v>
      </c>
      <c r="F128" s="981"/>
      <c r="G128" s="981">
        <v>71</v>
      </c>
      <c r="H128" s="981"/>
      <c r="I128" s="981">
        <v>3</v>
      </c>
      <c r="J128" s="981">
        <v>178</v>
      </c>
    </row>
    <row r="129" spans="1:10" x14ac:dyDescent="0.25">
      <c r="A129" s="981" t="s">
        <v>205</v>
      </c>
      <c r="B129" s="981" t="s">
        <v>251</v>
      </c>
      <c r="C129" s="981" t="s">
        <v>305</v>
      </c>
      <c r="D129" s="981" t="s">
        <v>58</v>
      </c>
      <c r="E129" s="981">
        <v>124</v>
      </c>
      <c r="F129" s="981"/>
      <c r="G129" s="981">
        <v>73</v>
      </c>
      <c r="H129" s="981"/>
      <c r="I129" s="981">
        <v>0</v>
      </c>
      <c r="J129" s="981">
        <v>51</v>
      </c>
    </row>
    <row r="130" spans="1:10" x14ac:dyDescent="0.25">
      <c r="A130" s="981" t="s">
        <v>205</v>
      </c>
      <c r="B130" s="981" t="s">
        <v>251</v>
      </c>
      <c r="C130" s="981" t="s">
        <v>306</v>
      </c>
      <c r="D130" s="981" t="s">
        <v>31</v>
      </c>
      <c r="E130" s="981">
        <v>167</v>
      </c>
      <c r="F130" s="981"/>
      <c r="G130" s="981">
        <v>23</v>
      </c>
      <c r="H130" s="981"/>
      <c r="I130" s="981">
        <v>0</v>
      </c>
      <c r="J130" s="981">
        <v>144</v>
      </c>
    </row>
    <row r="131" spans="1:10" x14ac:dyDescent="0.25">
      <c r="A131" s="981" t="s">
        <v>205</v>
      </c>
      <c r="B131" s="981" t="s">
        <v>251</v>
      </c>
      <c r="C131" s="981" t="s">
        <v>307</v>
      </c>
      <c r="D131" s="981" t="s">
        <v>32</v>
      </c>
      <c r="E131" s="981">
        <v>303</v>
      </c>
      <c r="F131" s="981"/>
      <c r="G131" s="981">
        <v>271</v>
      </c>
      <c r="H131" s="981"/>
      <c r="I131" s="981">
        <v>0</v>
      </c>
      <c r="J131" s="981">
        <v>32</v>
      </c>
    </row>
    <row r="132" spans="1:10" x14ac:dyDescent="0.25">
      <c r="A132" s="981" t="s">
        <v>205</v>
      </c>
      <c r="B132" s="981" t="s">
        <v>251</v>
      </c>
      <c r="C132" s="981" t="s">
        <v>308</v>
      </c>
      <c r="D132" s="981" t="s">
        <v>34</v>
      </c>
      <c r="E132" s="981">
        <v>438</v>
      </c>
      <c r="F132" s="981"/>
      <c r="G132" s="981">
        <v>182</v>
      </c>
      <c r="H132" s="981"/>
      <c r="I132" s="981">
        <v>201</v>
      </c>
      <c r="J132" s="981">
        <v>55</v>
      </c>
    </row>
    <row r="133" spans="1:10" x14ac:dyDescent="0.25">
      <c r="A133" s="981" t="s">
        <v>205</v>
      </c>
      <c r="B133" s="981" t="s">
        <v>251</v>
      </c>
      <c r="C133" s="981" t="s">
        <v>309</v>
      </c>
      <c r="D133" s="981" t="s">
        <v>262</v>
      </c>
      <c r="E133" s="981">
        <v>327</v>
      </c>
      <c r="F133" s="981"/>
      <c r="G133" s="981">
        <v>12</v>
      </c>
      <c r="H133" s="981"/>
      <c r="I133" s="981">
        <v>0</v>
      </c>
      <c r="J133" s="981">
        <v>315</v>
      </c>
    </row>
    <row r="134" spans="1:10" x14ac:dyDescent="0.25">
      <c r="A134" s="981" t="s">
        <v>205</v>
      </c>
      <c r="B134" s="981" t="s">
        <v>251</v>
      </c>
      <c r="C134" s="981" t="s">
        <v>310</v>
      </c>
      <c r="D134" s="981" t="s">
        <v>53</v>
      </c>
      <c r="E134" s="981">
        <v>105</v>
      </c>
      <c r="F134" s="981"/>
      <c r="G134" s="981">
        <v>13</v>
      </c>
      <c r="H134" s="981"/>
      <c r="I134" s="981">
        <v>0</v>
      </c>
      <c r="J134" s="981">
        <v>92</v>
      </c>
    </row>
    <row r="135" spans="1:10" x14ac:dyDescent="0.25">
      <c r="A135" s="981" t="s">
        <v>205</v>
      </c>
      <c r="B135" s="981" t="s">
        <v>251</v>
      </c>
      <c r="C135" s="981" t="s">
        <v>311</v>
      </c>
      <c r="D135" s="981" t="s">
        <v>59</v>
      </c>
      <c r="E135" s="981">
        <v>89</v>
      </c>
      <c r="F135" s="981"/>
      <c r="G135" s="981">
        <v>19</v>
      </c>
      <c r="H135" s="981"/>
      <c r="I135" s="981">
        <v>0</v>
      </c>
      <c r="J135" s="981">
        <v>70</v>
      </c>
    </row>
    <row r="136" spans="1:10" x14ac:dyDescent="0.25">
      <c r="A136" s="981" t="s">
        <v>205</v>
      </c>
      <c r="B136" s="981" t="s">
        <v>251</v>
      </c>
      <c r="C136" s="981" t="s">
        <v>312</v>
      </c>
      <c r="D136" s="981" t="s">
        <v>60</v>
      </c>
      <c r="E136" s="981">
        <v>116</v>
      </c>
      <c r="F136" s="981"/>
      <c r="G136" s="981">
        <v>55</v>
      </c>
      <c r="H136" s="981"/>
      <c r="I136" s="981">
        <v>0</v>
      </c>
      <c r="J136" s="981">
        <v>61</v>
      </c>
    </row>
    <row r="137" spans="1:10" x14ac:dyDescent="0.25">
      <c r="A137" s="981" t="s">
        <v>205</v>
      </c>
      <c r="B137" s="981" t="s">
        <v>251</v>
      </c>
      <c r="C137" s="981" t="s">
        <v>313</v>
      </c>
      <c r="D137" s="981" t="s">
        <v>33</v>
      </c>
      <c r="E137" s="981">
        <v>134</v>
      </c>
      <c r="F137" s="981"/>
      <c r="G137" s="981">
        <v>98</v>
      </c>
      <c r="H137" s="981"/>
      <c r="I137" s="981">
        <v>0</v>
      </c>
      <c r="J137" s="981">
        <v>36</v>
      </c>
    </row>
    <row r="138" spans="1:10" x14ac:dyDescent="0.25">
      <c r="A138" s="981" t="s">
        <v>205</v>
      </c>
      <c r="B138" s="981" t="s">
        <v>251</v>
      </c>
      <c r="C138" s="981" t="s">
        <v>314</v>
      </c>
      <c r="D138" s="981" t="s">
        <v>37</v>
      </c>
      <c r="E138" s="981">
        <v>187</v>
      </c>
      <c r="F138" s="981"/>
      <c r="G138" s="981">
        <v>11</v>
      </c>
      <c r="H138" s="981"/>
      <c r="I138" s="981">
        <v>0</v>
      </c>
      <c r="J138" s="981">
        <v>176</v>
      </c>
    </row>
    <row r="139" spans="1:10" x14ac:dyDescent="0.25">
      <c r="A139" s="981" t="s">
        <v>205</v>
      </c>
      <c r="B139" s="981" t="s">
        <v>251</v>
      </c>
      <c r="C139" s="981" t="s">
        <v>315</v>
      </c>
      <c r="D139" s="981" t="s">
        <v>50</v>
      </c>
      <c r="E139" s="981">
        <v>214</v>
      </c>
      <c r="F139" s="981"/>
      <c r="G139" s="981">
        <v>34</v>
      </c>
      <c r="H139" s="981"/>
      <c r="I139" s="981">
        <v>0</v>
      </c>
      <c r="J139" s="981">
        <v>180</v>
      </c>
    </row>
    <row r="140" spans="1:10" x14ac:dyDescent="0.25">
      <c r="A140" s="981" t="s">
        <v>205</v>
      </c>
      <c r="B140" s="981" t="s">
        <v>251</v>
      </c>
      <c r="C140" s="981" t="s">
        <v>316</v>
      </c>
      <c r="D140" s="981" t="s">
        <v>39</v>
      </c>
      <c r="E140" s="981">
        <v>71</v>
      </c>
      <c r="F140" s="981"/>
      <c r="G140" s="981">
        <v>1</v>
      </c>
      <c r="H140" s="981"/>
      <c r="I140" s="981">
        <v>0</v>
      </c>
      <c r="J140" s="981">
        <v>70</v>
      </c>
    </row>
    <row r="141" spans="1:10" x14ac:dyDescent="0.25">
      <c r="A141" s="981" t="s">
        <v>205</v>
      </c>
      <c r="B141" s="981" t="s">
        <v>251</v>
      </c>
      <c r="C141" s="981" t="s">
        <v>317</v>
      </c>
      <c r="D141" s="981" t="s">
        <v>124</v>
      </c>
      <c r="E141" s="981">
        <v>505</v>
      </c>
      <c r="F141" s="981"/>
      <c r="G141" s="981">
        <v>6</v>
      </c>
      <c r="H141" s="981"/>
      <c r="I141" s="981">
        <v>0</v>
      </c>
      <c r="J141" s="981">
        <v>499</v>
      </c>
    </row>
    <row r="142" spans="1:10" x14ac:dyDescent="0.25">
      <c r="A142" s="981" t="s">
        <v>205</v>
      </c>
      <c r="B142" s="981" t="s">
        <v>251</v>
      </c>
      <c r="C142" s="981" t="s">
        <v>318</v>
      </c>
      <c r="D142" s="981" t="s">
        <v>43</v>
      </c>
      <c r="E142" s="981">
        <v>390</v>
      </c>
      <c r="F142" s="981"/>
      <c r="G142" s="981">
        <v>112</v>
      </c>
      <c r="H142" s="981"/>
      <c r="I142" s="981">
        <v>0</v>
      </c>
      <c r="J142" s="981">
        <v>278</v>
      </c>
    </row>
    <row r="143" spans="1:10" x14ac:dyDescent="0.25">
      <c r="A143" s="981" t="s">
        <v>205</v>
      </c>
      <c r="B143" s="981" t="s">
        <v>252</v>
      </c>
      <c r="C143" s="981" t="s">
        <v>374</v>
      </c>
      <c r="D143" s="981" t="s">
        <v>31</v>
      </c>
      <c r="E143" s="981">
        <v>16</v>
      </c>
      <c r="F143" s="981"/>
      <c r="G143" s="981"/>
      <c r="H143" s="981"/>
      <c r="I143" s="981"/>
      <c r="J143" s="981">
        <v>16</v>
      </c>
    </row>
    <row r="144" spans="1:10" x14ac:dyDescent="0.25">
      <c r="A144" s="981" t="s">
        <v>205</v>
      </c>
      <c r="B144" s="981" t="s">
        <v>252</v>
      </c>
      <c r="C144" s="981" t="s">
        <v>375</v>
      </c>
      <c r="D144" s="981" t="s">
        <v>64</v>
      </c>
      <c r="E144" s="981">
        <v>27</v>
      </c>
      <c r="F144" s="981"/>
      <c r="G144" s="981"/>
      <c r="H144" s="981"/>
      <c r="I144" s="981"/>
      <c r="J144" s="981">
        <v>27</v>
      </c>
    </row>
    <row r="145" spans="1:10" x14ac:dyDescent="0.25">
      <c r="A145" s="981" t="s">
        <v>205</v>
      </c>
      <c r="B145" s="981" t="s">
        <v>252</v>
      </c>
      <c r="C145" s="981" t="s">
        <v>377</v>
      </c>
      <c r="D145" s="981" t="s">
        <v>65</v>
      </c>
      <c r="E145" s="981">
        <v>25</v>
      </c>
      <c r="F145" s="981"/>
      <c r="G145" s="981"/>
      <c r="H145" s="981"/>
      <c r="I145" s="981"/>
      <c r="J145" s="981">
        <v>25</v>
      </c>
    </row>
    <row r="146" spans="1:10" x14ac:dyDescent="0.25">
      <c r="A146" s="981" t="s">
        <v>205</v>
      </c>
      <c r="B146" s="981" t="s">
        <v>252</v>
      </c>
      <c r="C146" s="981" t="s">
        <v>378</v>
      </c>
      <c r="D146" s="981" t="s">
        <v>36</v>
      </c>
      <c r="E146" s="981">
        <v>19</v>
      </c>
      <c r="F146" s="981"/>
      <c r="G146" s="981"/>
      <c r="H146" s="981"/>
      <c r="I146" s="981"/>
      <c r="J146" s="981">
        <v>19</v>
      </c>
    </row>
    <row r="147" spans="1:10" x14ac:dyDescent="0.25">
      <c r="A147" s="981" t="s">
        <v>205</v>
      </c>
      <c r="B147" s="981" t="s">
        <v>252</v>
      </c>
      <c r="C147" s="981" t="s">
        <v>379</v>
      </c>
      <c r="D147" s="981" t="s">
        <v>68</v>
      </c>
      <c r="E147" s="981">
        <v>29</v>
      </c>
      <c r="F147" s="981"/>
      <c r="G147" s="981"/>
      <c r="H147" s="981"/>
      <c r="I147" s="981"/>
      <c r="J147" s="981">
        <v>29</v>
      </c>
    </row>
    <row r="148" spans="1:10" x14ac:dyDescent="0.25">
      <c r="A148" s="981" t="s">
        <v>205</v>
      </c>
      <c r="B148" s="981" t="s">
        <v>252</v>
      </c>
      <c r="C148" s="981" t="s">
        <v>380</v>
      </c>
      <c r="D148" s="981" t="s">
        <v>69</v>
      </c>
      <c r="E148" s="981">
        <v>38</v>
      </c>
      <c r="F148" s="981"/>
      <c r="G148" s="981"/>
      <c r="H148" s="981"/>
      <c r="I148" s="981"/>
      <c r="J148" s="981">
        <v>38</v>
      </c>
    </row>
    <row r="149" spans="1:10" x14ac:dyDescent="0.25">
      <c r="A149" s="981" t="s">
        <v>205</v>
      </c>
      <c r="B149" s="981" t="s">
        <v>252</v>
      </c>
      <c r="C149" s="981" t="s">
        <v>381</v>
      </c>
      <c r="D149" s="981" t="s">
        <v>70</v>
      </c>
      <c r="E149" s="981">
        <v>17</v>
      </c>
      <c r="F149" s="981"/>
      <c r="G149" s="981"/>
      <c r="H149" s="981"/>
      <c r="I149" s="981"/>
      <c r="J149" s="981">
        <v>17</v>
      </c>
    </row>
    <row r="150" spans="1:10" x14ac:dyDescent="0.25">
      <c r="A150" s="981" t="s">
        <v>205</v>
      </c>
      <c r="B150" s="981" t="s">
        <v>252</v>
      </c>
      <c r="C150" s="981" t="s">
        <v>382</v>
      </c>
      <c r="D150" s="981" t="s">
        <v>178</v>
      </c>
      <c r="E150" s="981">
        <v>27</v>
      </c>
      <c r="F150" s="981"/>
      <c r="G150" s="981"/>
      <c r="H150" s="981"/>
      <c r="I150" s="981"/>
      <c r="J150" s="981">
        <v>27</v>
      </c>
    </row>
    <row r="151" spans="1:10" x14ac:dyDescent="0.25">
      <c r="A151" s="981" t="s">
        <v>205</v>
      </c>
      <c r="B151" s="981" t="s">
        <v>252</v>
      </c>
      <c r="C151" s="981" t="s">
        <v>383</v>
      </c>
      <c r="D151" s="981" t="s">
        <v>71</v>
      </c>
      <c r="E151" s="981">
        <v>16</v>
      </c>
      <c r="F151" s="981"/>
      <c r="G151" s="981"/>
      <c r="H151" s="981"/>
      <c r="I151" s="981"/>
      <c r="J151" s="981">
        <v>16</v>
      </c>
    </row>
    <row r="152" spans="1:10" x14ac:dyDescent="0.25">
      <c r="A152" s="981" t="s">
        <v>205</v>
      </c>
      <c r="B152" s="981" t="s">
        <v>252</v>
      </c>
      <c r="C152" s="981" t="s">
        <v>385</v>
      </c>
      <c r="D152" s="981" t="s">
        <v>124</v>
      </c>
      <c r="E152" s="981">
        <v>32</v>
      </c>
      <c r="F152" s="981"/>
      <c r="G152" s="981"/>
      <c r="H152" s="981"/>
      <c r="I152" s="981"/>
      <c r="J152" s="981">
        <v>32</v>
      </c>
    </row>
    <row r="153" spans="1:10" x14ac:dyDescent="0.25">
      <c r="A153" s="981" t="s">
        <v>205</v>
      </c>
      <c r="B153" s="981" t="s">
        <v>252</v>
      </c>
      <c r="C153" s="981" t="s">
        <v>386</v>
      </c>
      <c r="D153" s="981" t="s">
        <v>72</v>
      </c>
      <c r="E153" s="981">
        <v>29</v>
      </c>
      <c r="F153" s="981"/>
      <c r="G153" s="981"/>
      <c r="H153" s="981"/>
      <c r="I153" s="981"/>
      <c r="J153" s="981">
        <v>29</v>
      </c>
    </row>
    <row r="154" spans="1:10" x14ac:dyDescent="0.25">
      <c r="A154" s="981" t="s">
        <v>205</v>
      </c>
      <c r="B154" s="981" t="s">
        <v>252</v>
      </c>
      <c r="C154" s="981" t="s">
        <v>387</v>
      </c>
      <c r="D154" s="981" t="s">
        <v>50</v>
      </c>
      <c r="E154" s="981">
        <v>20</v>
      </c>
      <c r="F154" s="981"/>
      <c r="G154" s="981"/>
      <c r="H154" s="981"/>
      <c r="I154" s="981"/>
      <c r="J154" s="981">
        <v>20</v>
      </c>
    </row>
    <row r="155" spans="1:10" x14ac:dyDescent="0.25">
      <c r="A155" s="981" t="s">
        <v>205</v>
      </c>
      <c r="B155" s="981" t="s">
        <v>252</v>
      </c>
      <c r="C155" s="981" t="s">
        <v>388</v>
      </c>
      <c r="D155" s="981" t="s">
        <v>57</v>
      </c>
      <c r="E155" s="981">
        <v>16</v>
      </c>
      <c r="F155" s="981"/>
      <c r="G155" s="981"/>
      <c r="H155" s="981"/>
      <c r="I155" s="981"/>
      <c r="J155" s="981">
        <v>16</v>
      </c>
    </row>
    <row r="156" spans="1:10" x14ac:dyDescent="0.25">
      <c r="A156" s="981" t="s">
        <v>205</v>
      </c>
      <c r="B156" s="981" t="s">
        <v>252</v>
      </c>
      <c r="C156" s="981" t="s">
        <v>389</v>
      </c>
      <c r="D156" s="981" t="s">
        <v>73</v>
      </c>
      <c r="E156" s="981">
        <v>13</v>
      </c>
      <c r="F156" s="981"/>
      <c r="G156" s="981"/>
      <c r="H156" s="981"/>
      <c r="I156" s="981"/>
      <c r="J156" s="981">
        <v>13</v>
      </c>
    </row>
    <row r="157" spans="1:10" x14ac:dyDescent="0.25">
      <c r="A157" s="981" t="s">
        <v>205</v>
      </c>
      <c r="B157" s="981" t="s">
        <v>252</v>
      </c>
      <c r="C157" s="981" t="s">
        <v>390</v>
      </c>
      <c r="D157" s="981" t="s">
        <v>74</v>
      </c>
      <c r="E157" s="981">
        <v>11</v>
      </c>
      <c r="F157" s="981"/>
      <c r="G157" s="981"/>
      <c r="H157" s="981"/>
      <c r="I157" s="981"/>
      <c r="J157" s="981">
        <v>11</v>
      </c>
    </row>
    <row r="158" spans="1:10" x14ac:dyDescent="0.25">
      <c r="A158" s="981" t="s">
        <v>205</v>
      </c>
      <c r="B158" s="981" t="s">
        <v>252</v>
      </c>
      <c r="C158" s="981" t="s">
        <v>376</v>
      </c>
      <c r="D158" s="981" t="s">
        <v>67</v>
      </c>
      <c r="E158" s="981">
        <v>24</v>
      </c>
      <c r="F158" s="981"/>
      <c r="G158" s="981"/>
      <c r="H158" s="981"/>
      <c r="I158" s="981"/>
      <c r="J158" s="981">
        <v>24</v>
      </c>
    </row>
    <row r="159" spans="1:10" x14ac:dyDescent="0.25">
      <c r="A159" s="981" t="s">
        <v>205</v>
      </c>
      <c r="B159" s="981" t="s">
        <v>252</v>
      </c>
      <c r="C159" s="981" t="s">
        <v>384</v>
      </c>
      <c r="D159" s="981" t="s">
        <v>43</v>
      </c>
      <c r="E159" s="981">
        <v>26</v>
      </c>
      <c r="F159" s="981"/>
      <c r="G159" s="981"/>
      <c r="H159" s="981"/>
      <c r="I159" s="981"/>
      <c r="J159" s="981">
        <v>26</v>
      </c>
    </row>
    <row r="160" spans="1:10" x14ac:dyDescent="0.25">
      <c r="A160" s="981" t="s">
        <v>205</v>
      </c>
      <c r="B160" s="981" t="s">
        <v>253</v>
      </c>
      <c r="C160" s="981" t="s">
        <v>412</v>
      </c>
      <c r="D160" s="981" t="s">
        <v>176</v>
      </c>
      <c r="E160" s="981">
        <v>302</v>
      </c>
      <c r="F160" s="981"/>
      <c r="G160" s="981"/>
      <c r="H160" s="981">
        <v>286</v>
      </c>
      <c r="I160" s="981"/>
      <c r="J160" s="981">
        <v>16</v>
      </c>
    </row>
    <row r="161" spans="1:10" x14ac:dyDescent="0.25">
      <c r="A161" s="981" t="s">
        <v>205</v>
      </c>
      <c r="B161" s="981" t="s">
        <v>253</v>
      </c>
      <c r="C161" s="981" t="s">
        <v>411</v>
      </c>
      <c r="D161" s="981" t="s">
        <v>177</v>
      </c>
      <c r="E161" s="981">
        <v>149</v>
      </c>
      <c r="F161" s="981"/>
      <c r="G161" s="981"/>
      <c r="H161" s="981">
        <v>124</v>
      </c>
      <c r="I161" s="981"/>
      <c r="J161" s="981">
        <v>25</v>
      </c>
    </row>
    <row r="162" spans="1:10" x14ac:dyDescent="0.25">
      <c r="A162" s="981" t="s">
        <v>205</v>
      </c>
      <c r="B162" s="981" t="s">
        <v>253</v>
      </c>
      <c r="C162" s="981" t="s">
        <v>413</v>
      </c>
      <c r="D162" s="981" t="s">
        <v>175</v>
      </c>
      <c r="E162" s="981">
        <v>165</v>
      </c>
      <c r="F162" s="981"/>
      <c r="G162" s="981"/>
      <c r="H162" s="981">
        <v>121</v>
      </c>
      <c r="I162" s="981"/>
      <c r="J162" s="981">
        <v>44</v>
      </c>
    </row>
    <row r="163" spans="1:10" x14ac:dyDescent="0.25">
      <c r="A163" s="981" t="s">
        <v>205</v>
      </c>
      <c r="B163" s="981" t="s">
        <v>254</v>
      </c>
      <c r="C163" s="981" t="s">
        <v>391</v>
      </c>
      <c r="D163" s="981" t="s">
        <v>263</v>
      </c>
      <c r="E163" s="981">
        <v>695</v>
      </c>
      <c r="F163" s="981">
        <v>203</v>
      </c>
      <c r="G163" s="981"/>
      <c r="H163" s="981">
        <v>297</v>
      </c>
      <c r="I163" s="981"/>
      <c r="J163" s="981">
        <v>195</v>
      </c>
    </row>
    <row r="164" spans="1:10" x14ac:dyDescent="0.25">
      <c r="A164" s="981" t="s">
        <v>278</v>
      </c>
      <c r="B164" s="981" t="s">
        <v>251</v>
      </c>
      <c r="C164" s="981" t="s">
        <v>287</v>
      </c>
      <c r="D164" s="981" t="s">
        <v>35</v>
      </c>
      <c r="E164" s="981">
        <v>46</v>
      </c>
      <c r="F164" s="981"/>
      <c r="G164" s="981">
        <v>24</v>
      </c>
      <c r="H164" s="981"/>
      <c r="I164" s="981">
        <v>0</v>
      </c>
      <c r="J164" s="981">
        <v>22</v>
      </c>
    </row>
    <row r="165" spans="1:10" x14ac:dyDescent="0.25">
      <c r="A165" s="981" t="s">
        <v>278</v>
      </c>
      <c r="B165" s="981" t="s">
        <v>251</v>
      </c>
      <c r="C165" s="981" t="s">
        <v>288</v>
      </c>
      <c r="D165" s="981" t="s">
        <v>36</v>
      </c>
      <c r="E165" s="981">
        <v>270</v>
      </c>
      <c r="F165" s="981"/>
      <c r="G165" s="981">
        <v>202</v>
      </c>
      <c r="H165" s="981"/>
      <c r="I165" s="981">
        <v>5</v>
      </c>
      <c r="J165" s="981">
        <v>63</v>
      </c>
    </row>
    <row r="166" spans="1:10" x14ac:dyDescent="0.25">
      <c r="A166" s="981" t="s">
        <v>278</v>
      </c>
      <c r="B166" s="981" t="s">
        <v>251</v>
      </c>
      <c r="C166" s="981" t="s">
        <v>289</v>
      </c>
      <c r="D166" s="981" t="s">
        <v>38</v>
      </c>
      <c r="E166" s="981">
        <v>127</v>
      </c>
      <c r="F166" s="981"/>
      <c r="G166" s="981">
        <v>81</v>
      </c>
      <c r="H166" s="981"/>
      <c r="I166" s="981">
        <v>0</v>
      </c>
      <c r="J166" s="981">
        <v>46</v>
      </c>
    </row>
    <row r="167" spans="1:10" x14ac:dyDescent="0.25">
      <c r="A167" s="981" t="s">
        <v>278</v>
      </c>
      <c r="B167" s="981" t="s">
        <v>251</v>
      </c>
      <c r="C167" s="981" t="s">
        <v>290</v>
      </c>
      <c r="D167" s="981" t="s">
        <v>40</v>
      </c>
      <c r="E167" s="981">
        <v>82</v>
      </c>
      <c r="F167" s="981"/>
      <c r="G167" s="981">
        <v>55</v>
      </c>
      <c r="H167" s="981"/>
      <c r="I167" s="981">
        <v>0</v>
      </c>
      <c r="J167" s="981">
        <v>27</v>
      </c>
    </row>
    <row r="168" spans="1:10" x14ac:dyDescent="0.25">
      <c r="A168" s="981" t="s">
        <v>278</v>
      </c>
      <c r="B168" s="981" t="s">
        <v>251</v>
      </c>
      <c r="C168" s="981" t="s">
        <v>291</v>
      </c>
      <c r="D168" s="981" t="s">
        <v>41</v>
      </c>
      <c r="E168" s="981">
        <v>50</v>
      </c>
      <c r="F168" s="981"/>
      <c r="G168" s="981">
        <v>0</v>
      </c>
      <c r="H168" s="981"/>
      <c r="I168" s="981">
        <v>0</v>
      </c>
      <c r="J168" s="981">
        <v>50</v>
      </c>
    </row>
    <row r="169" spans="1:10" x14ac:dyDescent="0.25">
      <c r="A169" s="981" t="s">
        <v>278</v>
      </c>
      <c r="B169" s="981" t="s">
        <v>251</v>
      </c>
      <c r="C169" s="981" t="s">
        <v>292</v>
      </c>
      <c r="D169" s="981" t="s">
        <v>48</v>
      </c>
      <c r="E169" s="981">
        <v>137</v>
      </c>
      <c r="F169" s="981"/>
      <c r="G169" s="981">
        <v>137</v>
      </c>
      <c r="H169" s="981"/>
      <c r="I169" s="981">
        <v>0</v>
      </c>
      <c r="J169" s="981">
        <v>0</v>
      </c>
    </row>
    <row r="170" spans="1:10" x14ac:dyDescent="0.25">
      <c r="A170" s="981" t="s">
        <v>278</v>
      </c>
      <c r="B170" s="981" t="s">
        <v>251</v>
      </c>
      <c r="C170" s="981" t="s">
        <v>293</v>
      </c>
      <c r="D170" s="981" t="s">
        <v>42</v>
      </c>
      <c r="E170" s="981">
        <v>142</v>
      </c>
      <c r="F170" s="981"/>
      <c r="G170" s="981">
        <v>56</v>
      </c>
      <c r="H170" s="981"/>
      <c r="I170" s="981">
        <v>0</v>
      </c>
      <c r="J170" s="981">
        <v>86</v>
      </c>
    </row>
    <row r="171" spans="1:10" x14ac:dyDescent="0.25">
      <c r="A171" s="981" t="s">
        <v>278</v>
      </c>
      <c r="B171" s="981" t="s">
        <v>251</v>
      </c>
      <c r="C171" s="981" t="s">
        <v>294</v>
      </c>
      <c r="D171" s="981" t="s">
        <v>44</v>
      </c>
      <c r="E171" s="981">
        <v>659</v>
      </c>
      <c r="F171" s="981"/>
      <c r="G171" s="981">
        <v>525</v>
      </c>
      <c r="H171" s="981"/>
      <c r="I171" s="981">
        <v>67</v>
      </c>
      <c r="J171" s="981">
        <v>67</v>
      </c>
    </row>
    <row r="172" spans="1:10" x14ac:dyDescent="0.25">
      <c r="A172" s="981" t="s">
        <v>278</v>
      </c>
      <c r="B172" s="981" t="s">
        <v>251</v>
      </c>
      <c r="C172" s="981" t="s">
        <v>295</v>
      </c>
      <c r="D172" s="981" t="s">
        <v>45</v>
      </c>
      <c r="E172" s="981">
        <v>107</v>
      </c>
      <c r="F172" s="981"/>
      <c r="G172" s="981">
        <v>39</v>
      </c>
      <c r="H172" s="981"/>
      <c r="I172" s="981">
        <v>0</v>
      </c>
      <c r="J172" s="981">
        <v>68</v>
      </c>
    </row>
    <row r="173" spans="1:10" x14ac:dyDescent="0.25">
      <c r="A173" s="981" t="s">
        <v>278</v>
      </c>
      <c r="B173" s="981" t="s">
        <v>251</v>
      </c>
      <c r="C173" s="981" t="s">
        <v>296</v>
      </c>
      <c r="D173" s="981" t="s">
        <v>46</v>
      </c>
      <c r="E173" s="981">
        <v>33</v>
      </c>
      <c r="F173" s="981"/>
      <c r="G173" s="981">
        <v>11</v>
      </c>
      <c r="H173" s="981"/>
      <c r="I173" s="981">
        <v>0</v>
      </c>
      <c r="J173" s="981">
        <v>22</v>
      </c>
    </row>
    <row r="174" spans="1:10" x14ac:dyDescent="0.25">
      <c r="A174" s="981" t="s">
        <v>278</v>
      </c>
      <c r="B174" s="981" t="s">
        <v>251</v>
      </c>
      <c r="C174" s="981" t="s">
        <v>297</v>
      </c>
      <c r="D174" s="981" t="s">
        <v>47</v>
      </c>
      <c r="E174" s="981">
        <v>152</v>
      </c>
      <c r="F174" s="981"/>
      <c r="G174" s="981">
        <v>125</v>
      </c>
      <c r="H174" s="981"/>
      <c r="I174" s="981">
        <v>0</v>
      </c>
      <c r="J174" s="981">
        <v>27</v>
      </c>
    </row>
    <row r="175" spans="1:10" x14ac:dyDescent="0.25">
      <c r="A175" s="981" t="s">
        <v>278</v>
      </c>
      <c r="B175" s="981" t="s">
        <v>251</v>
      </c>
      <c r="C175" s="981" t="s">
        <v>298</v>
      </c>
      <c r="D175" s="981" t="s">
        <v>49</v>
      </c>
      <c r="E175" s="981">
        <v>202</v>
      </c>
      <c r="F175" s="981"/>
      <c r="G175" s="981">
        <v>106</v>
      </c>
      <c r="H175" s="981"/>
      <c r="I175" s="981">
        <v>18</v>
      </c>
      <c r="J175" s="981">
        <v>78</v>
      </c>
    </row>
    <row r="176" spans="1:10" x14ac:dyDescent="0.25">
      <c r="A176" s="981" t="s">
        <v>278</v>
      </c>
      <c r="B176" s="981" t="s">
        <v>251</v>
      </c>
      <c r="C176" s="981" t="s">
        <v>299</v>
      </c>
      <c r="D176" s="981" t="s">
        <v>51</v>
      </c>
      <c r="E176" s="981">
        <v>95</v>
      </c>
      <c r="F176" s="981"/>
      <c r="G176" s="981">
        <v>95</v>
      </c>
      <c r="H176" s="981"/>
      <c r="I176" s="981">
        <v>0</v>
      </c>
      <c r="J176" s="981">
        <v>0</v>
      </c>
    </row>
    <row r="177" spans="1:10" x14ac:dyDescent="0.25">
      <c r="A177" s="981" t="s">
        <v>278</v>
      </c>
      <c r="B177" s="981" t="s">
        <v>251</v>
      </c>
      <c r="C177" s="981" t="s">
        <v>300</v>
      </c>
      <c r="D177" s="981" t="s">
        <v>52</v>
      </c>
      <c r="E177" s="981">
        <v>213</v>
      </c>
      <c r="F177" s="981"/>
      <c r="G177" s="981">
        <v>122</v>
      </c>
      <c r="H177" s="981"/>
      <c r="I177" s="981">
        <v>23</v>
      </c>
      <c r="J177" s="981">
        <v>68</v>
      </c>
    </row>
    <row r="178" spans="1:10" x14ac:dyDescent="0.25">
      <c r="A178" s="981" t="s">
        <v>278</v>
      </c>
      <c r="B178" s="981" t="s">
        <v>251</v>
      </c>
      <c r="C178" s="981" t="s">
        <v>301</v>
      </c>
      <c r="D178" s="981" t="s">
        <v>54</v>
      </c>
      <c r="E178" s="981">
        <v>199</v>
      </c>
      <c r="F178" s="981"/>
      <c r="G178" s="981">
        <v>143</v>
      </c>
      <c r="H178" s="981"/>
      <c r="I178" s="981">
        <v>0</v>
      </c>
      <c r="J178" s="981">
        <v>56</v>
      </c>
    </row>
    <row r="179" spans="1:10" x14ac:dyDescent="0.25">
      <c r="A179" s="981" t="s">
        <v>278</v>
      </c>
      <c r="B179" s="981" t="s">
        <v>251</v>
      </c>
      <c r="C179" s="981" t="s">
        <v>302</v>
      </c>
      <c r="D179" s="981" t="s">
        <v>55</v>
      </c>
      <c r="E179" s="981">
        <v>122</v>
      </c>
      <c r="F179" s="981"/>
      <c r="G179" s="981">
        <v>122</v>
      </c>
      <c r="H179" s="981"/>
      <c r="I179" s="981">
        <v>0</v>
      </c>
      <c r="J179" s="981">
        <v>0</v>
      </c>
    </row>
    <row r="180" spans="1:10" x14ac:dyDescent="0.25">
      <c r="A180" s="981" t="s">
        <v>278</v>
      </c>
      <c r="B180" s="981" t="s">
        <v>251</v>
      </c>
      <c r="C180" s="981" t="s">
        <v>303</v>
      </c>
      <c r="D180" s="981" t="s">
        <v>56</v>
      </c>
      <c r="E180" s="981">
        <v>102</v>
      </c>
      <c r="F180" s="981"/>
      <c r="G180" s="981">
        <v>48</v>
      </c>
      <c r="H180" s="981"/>
      <c r="I180" s="981">
        <v>0</v>
      </c>
      <c r="J180" s="981">
        <v>54</v>
      </c>
    </row>
    <row r="181" spans="1:10" x14ac:dyDescent="0.25">
      <c r="A181" s="981" t="s">
        <v>278</v>
      </c>
      <c r="B181" s="981" t="s">
        <v>251</v>
      </c>
      <c r="C181" s="981" t="s">
        <v>304</v>
      </c>
      <c r="D181" s="981" t="s">
        <v>57</v>
      </c>
      <c r="E181" s="981">
        <v>248</v>
      </c>
      <c r="F181" s="981"/>
      <c r="G181" s="981">
        <v>74</v>
      </c>
      <c r="H181" s="981"/>
      <c r="I181" s="981">
        <v>3</v>
      </c>
      <c r="J181" s="981">
        <v>171</v>
      </c>
    </row>
    <row r="182" spans="1:10" x14ac:dyDescent="0.25">
      <c r="A182" s="981" t="s">
        <v>278</v>
      </c>
      <c r="B182" s="981" t="s">
        <v>251</v>
      </c>
      <c r="C182" s="981" t="s">
        <v>305</v>
      </c>
      <c r="D182" s="981" t="s">
        <v>58</v>
      </c>
      <c r="E182" s="981">
        <v>126</v>
      </c>
      <c r="F182" s="981"/>
      <c r="G182" s="981">
        <v>73</v>
      </c>
      <c r="H182" s="981"/>
      <c r="I182" s="981">
        <v>0</v>
      </c>
      <c r="J182" s="981">
        <v>53</v>
      </c>
    </row>
    <row r="183" spans="1:10" x14ac:dyDescent="0.25">
      <c r="A183" s="981" t="s">
        <v>278</v>
      </c>
      <c r="B183" s="981" t="s">
        <v>251</v>
      </c>
      <c r="C183" s="981" t="s">
        <v>306</v>
      </c>
      <c r="D183" s="981" t="s">
        <v>31</v>
      </c>
      <c r="E183" s="981">
        <v>163</v>
      </c>
      <c r="F183" s="981"/>
      <c r="G183" s="981">
        <v>8</v>
      </c>
      <c r="H183" s="981"/>
      <c r="I183" s="981">
        <v>0</v>
      </c>
      <c r="J183" s="981">
        <v>155</v>
      </c>
    </row>
    <row r="184" spans="1:10" x14ac:dyDescent="0.25">
      <c r="A184" s="981" t="s">
        <v>278</v>
      </c>
      <c r="B184" s="981" t="s">
        <v>251</v>
      </c>
      <c r="C184" s="981" t="s">
        <v>307</v>
      </c>
      <c r="D184" s="981" t="s">
        <v>32</v>
      </c>
      <c r="E184" s="981">
        <v>307</v>
      </c>
      <c r="F184" s="981"/>
      <c r="G184" s="981">
        <v>282</v>
      </c>
      <c r="H184" s="981"/>
      <c r="I184" s="981">
        <v>0</v>
      </c>
      <c r="J184" s="981">
        <v>25</v>
      </c>
    </row>
    <row r="185" spans="1:10" x14ac:dyDescent="0.25">
      <c r="A185" s="981" t="s">
        <v>278</v>
      </c>
      <c r="B185" s="981" t="s">
        <v>251</v>
      </c>
      <c r="C185" s="981" t="s">
        <v>308</v>
      </c>
      <c r="D185" s="981" t="s">
        <v>34</v>
      </c>
      <c r="E185" s="981">
        <v>428</v>
      </c>
      <c r="F185" s="981"/>
      <c r="G185" s="981">
        <v>185</v>
      </c>
      <c r="H185" s="981"/>
      <c r="I185" s="981">
        <v>200</v>
      </c>
      <c r="J185" s="981">
        <v>43</v>
      </c>
    </row>
    <row r="186" spans="1:10" x14ac:dyDescent="0.25">
      <c r="A186" s="981" t="s">
        <v>278</v>
      </c>
      <c r="B186" s="981" t="s">
        <v>251</v>
      </c>
      <c r="C186" s="981" t="s">
        <v>309</v>
      </c>
      <c r="D186" s="981" t="s">
        <v>262</v>
      </c>
      <c r="E186" s="981">
        <v>325</v>
      </c>
      <c r="F186" s="981"/>
      <c r="G186" s="981">
        <v>12</v>
      </c>
      <c r="H186" s="981"/>
      <c r="I186" s="981">
        <v>0</v>
      </c>
      <c r="J186" s="981">
        <v>313</v>
      </c>
    </row>
    <row r="187" spans="1:10" x14ac:dyDescent="0.25">
      <c r="A187" s="981" t="s">
        <v>278</v>
      </c>
      <c r="B187" s="981" t="s">
        <v>251</v>
      </c>
      <c r="C187" s="981" t="s">
        <v>310</v>
      </c>
      <c r="D187" s="981" t="s">
        <v>53</v>
      </c>
      <c r="E187" s="981">
        <v>110</v>
      </c>
      <c r="F187" s="981"/>
      <c r="G187" s="981">
        <v>13</v>
      </c>
      <c r="H187" s="981"/>
      <c r="I187" s="981">
        <v>0</v>
      </c>
      <c r="J187" s="981">
        <v>97</v>
      </c>
    </row>
    <row r="188" spans="1:10" x14ac:dyDescent="0.25">
      <c r="A188" s="981" t="s">
        <v>278</v>
      </c>
      <c r="B188" s="981" t="s">
        <v>251</v>
      </c>
      <c r="C188" s="981" t="s">
        <v>311</v>
      </c>
      <c r="D188" s="981" t="s">
        <v>59</v>
      </c>
      <c r="E188" s="981">
        <v>86</v>
      </c>
      <c r="F188" s="981"/>
      <c r="G188" s="981">
        <v>17</v>
      </c>
      <c r="H188" s="981"/>
      <c r="I188" s="981">
        <v>0</v>
      </c>
      <c r="J188" s="981">
        <v>69</v>
      </c>
    </row>
    <row r="189" spans="1:10" x14ac:dyDescent="0.25">
      <c r="A189" s="981" t="s">
        <v>278</v>
      </c>
      <c r="B189" s="981" t="s">
        <v>251</v>
      </c>
      <c r="C189" s="981" t="s">
        <v>312</v>
      </c>
      <c r="D189" s="981" t="s">
        <v>60</v>
      </c>
      <c r="E189" s="981">
        <v>124</v>
      </c>
      <c r="F189" s="981"/>
      <c r="G189" s="981">
        <v>64</v>
      </c>
      <c r="H189" s="981"/>
      <c r="I189" s="981">
        <v>0</v>
      </c>
      <c r="J189" s="981">
        <v>60</v>
      </c>
    </row>
    <row r="190" spans="1:10" x14ac:dyDescent="0.25">
      <c r="A190" s="981" t="s">
        <v>278</v>
      </c>
      <c r="B190" s="981" t="s">
        <v>251</v>
      </c>
      <c r="C190" s="981" t="s">
        <v>313</v>
      </c>
      <c r="D190" s="981" t="s">
        <v>33</v>
      </c>
      <c r="E190" s="981">
        <v>119</v>
      </c>
      <c r="F190" s="981"/>
      <c r="G190" s="981">
        <v>94</v>
      </c>
      <c r="H190" s="981"/>
      <c r="I190" s="981">
        <v>0</v>
      </c>
      <c r="J190" s="981">
        <v>25</v>
      </c>
    </row>
    <row r="191" spans="1:10" x14ac:dyDescent="0.25">
      <c r="A191" s="981" t="s">
        <v>278</v>
      </c>
      <c r="B191" s="981" t="s">
        <v>251</v>
      </c>
      <c r="C191" s="981" t="s">
        <v>314</v>
      </c>
      <c r="D191" s="981" t="s">
        <v>37</v>
      </c>
      <c r="E191" s="981">
        <v>205</v>
      </c>
      <c r="F191" s="981"/>
      <c r="G191" s="981">
        <v>13</v>
      </c>
      <c r="H191" s="981"/>
      <c r="I191" s="981">
        <v>0</v>
      </c>
      <c r="J191" s="981">
        <v>192</v>
      </c>
    </row>
    <row r="192" spans="1:10" x14ac:dyDescent="0.25">
      <c r="A192" s="981" t="s">
        <v>278</v>
      </c>
      <c r="B192" s="981" t="s">
        <v>251</v>
      </c>
      <c r="C192" s="981" t="s">
        <v>315</v>
      </c>
      <c r="D192" s="981" t="s">
        <v>50</v>
      </c>
      <c r="E192" s="981">
        <v>208</v>
      </c>
      <c r="F192" s="981"/>
      <c r="G192" s="981">
        <v>35</v>
      </c>
      <c r="H192" s="981"/>
      <c r="I192" s="981">
        <v>0</v>
      </c>
      <c r="J192" s="981">
        <v>173</v>
      </c>
    </row>
    <row r="193" spans="1:10" x14ac:dyDescent="0.25">
      <c r="A193" s="981" t="s">
        <v>278</v>
      </c>
      <c r="B193" s="981" t="s">
        <v>251</v>
      </c>
      <c r="C193" s="981" t="s">
        <v>316</v>
      </c>
      <c r="D193" s="981" t="s">
        <v>39</v>
      </c>
      <c r="E193" s="981">
        <v>68</v>
      </c>
      <c r="F193" s="981"/>
      <c r="G193" s="981">
        <v>0</v>
      </c>
      <c r="H193" s="981"/>
      <c r="I193" s="981">
        <v>0</v>
      </c>
      <c r="J193" s="981">
        <v>68</v>
      </c>
    </row>
    <row r="194" spans="1:10" x14ac:dyDescent="0.25">
      <c r="A194" s="981" t="s">
        <v>278</v>
      </c>
      <c r="B194" s="981" t="s">
        <v>251</v>
      </c>
      <c r="C194" s="981" t="s">
        <v>317</v>
      </c>
      <c r="D194" s="981" t="s">
        <v>124</v>
      </c>
      <c r="E194" s="981">
        <v>475</v>
      </c>
      <c r="F194" s="981"/>
      <c r="G194" s="981">
        <v>0</v>
      </c>
      <c r="H194" s="981"/>
      <c r="I194" s="981">
        <v>0</v>
      </c>
      <c r="J194" s="981">
        <v>475</v>
      </c>
    </row>
    <row r="195" spans="1:10" x14ac:dyDescent="0.25">
      <c r="A195" s="981" t="s">
        <v>278</v>
      </c>
      <c r="B195" s="981" t="s">
        <v>251</v>
      </c>
      <c r="C195" s="981" t="s">
        <v>318</v>
      </c>
      <c r="D195" s="981" t="s">
        <v>43</v>
      </c>
      <c r="E195" s="981">
        <v>379</v>
      </c>
      <c r="F195" s="981"/>
      <c r="G195" s="981">
        <v>109</v>
      </c>
      <c r="H195" s="981"/>
      <c r="I195" s="981">
        <v>0</v>
      </c>
      <c r="J195" s="981">
        <v>270</v>
      </c>
    </row>
    <row r="196" spans="1:10" x14ac:dyDescent="0.25">
      <c r="A196" s="981" t="s">
        <v>278</v>
      </c>
      <c r="B196" s="981" t="s">
        <v>252</v>
      </c>
      <c r="C196" s="981" t="s">
        <v>374</v>
      </c>
      <c r="D196" s="981" t="s">
        <v>31</v>
      </c>
      <c r="E196" s="981">
        <v>14</v>
      </c>
      <c r="F196" s="981"/>
      <c r="G196" s="981"/>
      <c r="H196" s="981"/>
      <c r="I196" s="981"/>
      <c r="J196" s="981">
        <v>14</v>
      </c>
    </row>
    <row r="197" spans="1:10" x14ac:dyDescent="0.25">
      <c r="A197" s="981" t="s">
        <v>278</v>
      </c>
      <c r="B197" s="981" t="s">
        <v>252</v>
      </c>
      <c r="C197" s="981" t="s">
        <v>375</v>
      </c>
      <c r="D197" s="981" t="s">
        <v>64</v>
      </c>
      <c r="E197" s="981">
        <v>25</v>
      </c>
      <c r="F197" s="981"/>
      <c r="G197" s="981"/>
      <c r="H197" s="981"/>
      <c r="I197" s="981"/>
      <c r="J197" s="981">
        <v>25</v>
      </c>
    </row>
    <row r="198" spans="1:10" x14ac:dyDescent="0.25">
      <c r="A198" s="981" t="s">
        <v>278</v>
      </c>
      <c r="B198" s="981" t="s">
        <v>252</v>
      </c>
      <c r="C198" s="981" t="s">
        <v>377</v>
      </c>
      <c r="D198" s="981" t="s">
        <v>65</v>
      </c>
      <c r="E198" s="981">
        <v>26</v>
      </c>
      <c r="F198" s="981"/>
      <c r="G198" s="981"/>
      <c r="H198" s="981"/>
      <c r="I198" s="981"/>
      <c r="J198" s="981">
        <v>26</v>
      </c>
    </row>
    <row r="199" spans="1:10" x14ac:dyDescent="0.25">
      <c r="A199" s="981" t="s">
        <v>278</v>
      </c>
      <c r="B199" s="981" t="s">
        <v>252</v>
      </c>
      <c r="C199" s="981" t="s">
        <v>378</v>
      </c>
      <c r="D199" s="981" t="s">
        <v>36</v>
      </c>
      <c r="E199" s="981">
        <v>22</v>
      </c>
      <c r="F199" s="981"/>
      <c r="G199" s="981"/>
      <c r="H199" s="981"/>
      <c r="I199" s="981"/>
      <c r="J199" s="981">
        <v>22</v>
      </c>
    </row>
    <row r="200" spans="1:10" x14ac:dyDescent="0.25">
      <c r="A200" s="981" t="s">
        <v>278</v>
      </c>
      <c r="B200" s="981" t="s">
        <v>252</v>
      </c>
      <c r="C200" s="981" t="s">
        <v>379</v>
      </c>
      <c r="D200" s="981" t="s">
        <v>68</v>
      </c>
      <c r="E200" s="981">
        <v>30</v>
      </c>
      <c r="F200" s="981"/>
      <c r="G200" s="981"/>
      <c r="H200" s="981"/>
      <c r="I200" s="981"/>
      <c r="J200" s="981">
        <v>30</v>
      </c>
    </row>
    <row r="201" spans="1:10" x14ac:dyDescent="0.25">
      <c r="A201" s="981" t="s">
        <v>278</v>
      </c>
      <c r="B201" s="981" t="s">
        <v>252</v>
      </c>
      <c r="C201" s="981" t="s">
        <v>380</v>
      </c>
      <c r="D201" s="981" t="s">
        <v>69</v>
      </c>
      <c r="E201" s="981">
        <v>31</v>
      </c>
      <c r="F201" s="981"/>
      <c r="G201" s="981"/>
      <c r="H201" s="981"/>
      <c r="I201" s="981"/>
      <c r="J201" s="981">
        <v>31</v>
      </c>
    </row>
    <row r="202" spans="1:10" x14ac:dyDescent="0.25">
      <c r="A202" s="981" t="s">
        <v>278</v>
      </c>
      <c r="B202" s="981" t="s">
        <v>252</v>
      </c>
      <c r="C202" s="981" t="s">
        <v>381</v>
      </c>
      <c r="D202" s="981" t="s">
        <v>70</v>
      </c>
      <c r="E202" s="981">
        <v>18</v>
      </c>
      <c r="F202" s="981"/>
      <c r="G202" s="981"/>
      <c r="H202" s="981"/>
      <c r="I202" s="981"/>
      <c r="J202" s="981">
        <v>18</v>
      </c>
    </row>
    <row r="203" spans="1:10" x14ac:dyDescent="0.25">
      <c r="A203" s="981" t="s">
        <v>278</v>
      </c>
      <c r="B203" s="981" t="s">
        <v>252</v>
      </c>
      <c r="C203" s="981" t="s">
        <v>382</v>
      </c>
      <c r="D203" s="981" t="s">
        <v>178</v>
      </c>
      <c r="E203" s="981">
        <v>27</v>
      </c>
      <c r="F203" s="981"/>
      <c r="G203" s="981"/>
      <c r="H203" s="981"/>
      <c r="I203" s="981"/>
      <c r="J203" s="981">
        <v>27</v>
      </c>
    </row>
    <row r="204" spans="1:10" x14ac:dyDescent="0.25">
      <c r="A204" s="981" t="s">
        <v>278</v>
      </c>
      <c r="B204" s="981" t="s">
        <v>252</v>
      </c>
      <c r="C204" s="981" t="s">
        <v>383</v>
      </c>
      <c r="D204" s="981" t="s">
        <v>71</v>
      </c>
      <c r="E204" s="981">
        <v>21</v>
      </c>
      <c r="F204" s="981"/>
      <c r="G204" s="981"/>
      <c r="H204" s="981"/>
      <c r="I204" s="981"/>
      <c r="J204" s="981">
        <v>21</v>
      </c>
    </row>
    <row r="205" spans="1:10" x14ac:dyDescent="0.25">
      <c r="A205" s="981" t="s">
        <v>278</v>
      </c>
      <c r="B205" s="981" t="s">
        <v>252</v>
      </c>
      <c r="C205" s="981" t="s">
        <v>385</v>
      </c>
      <c r="D205" s="981" t="s">
        <v>124</v>
      </c>
      <c r="E205" s="981">
        <v>25</v>
      </c>
      <c r="F205" s="981"/>
      <c r="G205" s="981"/>
      <c r="H205" s="981"/>
      <c r="I205" s="981"/>
      <c r="J205" s="981">
        <v>25</v>
      </c>
    </row>
    <row r="206" spans="1:10" x14ac:dyDescent="0.25">
      <c r="A206" s="981" t="s">
        <v>278</v>
      </c>
      <c r="B206" s="981" t="s">
        <v>252</v>
      </c>
      <c r="C206" s="981" t="s">
        <v>386</v>
      </c>
      <c r="D206" s="981" t="s">
        <v>72</v>
      </c>
      <c r="E206" s="981">
        <v>37</v>
      </c>
      <c r="F206" s="981"/>
      <c r="G206" s="981"/>
      <c r="H206" s="981"/>
      <c r="I206" s="981"/>
      <c r="J206" s="981">
        <v>37</v>
      </c>
    </row>
    <row r="207" spans="1:10" x14ac:dyDescent="0.25">
      <c r="A207" s="981" t="s">
        <v>278</v>
      </c>
      <c r="B207" s="981" t="s">
        <v>252</v>
      </c>
      <c r="C207" s="981" t="s">
        <v>387</v>
      </c>
      <c r="D207" s="981" t="s">
        <v>50</v>
      </c>
      <c r="E207" s="981">
        <v>15</v>
      </c>
      <c r="F207" s="981"/>
      <c r="G207" s="981"/>
      <c r="H207" s="981"/>
      <c r="I207" s="981"/>
      <c r="J207" s="981">
        <v>15</v>
      </c>
    </row>
    <row r="208" spans="1:10" x14ac:dyDescent="0.25">
      <c r="A208" s="981" t="s">
        <v>278</v>
      </c>
      <c r="B208" s="981" t="s">
        <v>252</v>
      </c>
      <c r="C208" s="981" t="s">
        <v>388</v>
      </c>
      <c r="D208" s="981" t="s">
        <v>57</v>
      </c>
      <c r="E208" s="981">
        <v>15</v>
      </c>
      <c r="F208" s="981"/>
      <c r="G208" s="981"/>
      <c r="H208" s="981"/>
      <c r="I208" s="981"/>
      <c r="J208" s="981">
        <v>15</v>
      </c>
    </row>
    <row r="209" spans="1:10" x14ac:dyDescent="0.25">
      <c r="A209" s="981" t="s">
        <v>278</v>
      </c>
      <c r="B209" s="981" t="s">
        <v>252</v>
      </c>
      <c r="C209" s="981" t="s">
        <v>389</v>
      </c>
      <c r="D209" s="981" t="s">
        <v>73</v>
      </c>
      <c r="E209" s="981">
        <v>15</v>
      </c>
      <c r="F209" s="981"/>
      <c r="G209" s="981"/>
      <c r="H209" s="981"/>
      <c r="I209" s="981"/>
      <c r="J209" s="981">
        <v>15</v>
      </c>
    </row>
    <row r="210" spans="1:10" x14ac:dyDescent="0.25">
      <c r="A210" s="981" t="s">
        <v>278</v>
      </c>
      <c r="B210" s="981" t="s">
        <v>252</v>
      </c>
      <c r="C210" s="981" t="s">
        <v>390</v>
      </c>
      <c r="D210" s="981" t="s">
        <v>74</v>
      </c>
      <c r="E210" s="981">
        <v>16</v>
      </c>
      <c r="F210" s="981"/>
      <c r="G210" s="981"/>
      <c r="H210" s="981"/>
      <c r="I210" s="981"/>
      <c r="J210" s="981">
        <v>16</v>
      </c>
    </row>
    <row r="211" spans="1:10" x14ac:dyDescent="0.25">
      <c r="A211" s="981" t="s">
        <v>278</v>
      </c>
      <c r="B211" s="981" t="s">
        <v>252</v>
      </c>
      <c r="C211" s="981" t="s">
        <v>376</v>
      </c>
      <c r="D211" s="981" t="s">
        <v>67</v>
      </c>
      <c r="E211" s="981">
        <v>28</v>
      </c>
      <c r="F211" s="981"/>
      <c r="G211" s="981"/>
      <c r="H211" s="981"/>
      <c r="I211" s="981"/>
      <c r="J211" s="981">
        <v>28</v>
      </c>
    </row>
    <row r="212" spans="1:10" x14ac:dyDescent="0.25">
      <c r="A212" s="981" t="s">
        <v>278</v>
      </c>
      <c r="B212" s="981" t="s">
        <v>252</v>
      </c>
      <c r="C212" s="981" t="s">
        <v>384</v>
      </c>
      <c r="D212" s="981" t="s">
        <v>43</v>
      </c>
      <c r="E212" s="981">
        <v>24</v>
      </c>
      <c r="F212" s="981"/>
      <c r="G212" s="981"/>
      <c r="H212" s="981"/>
      <c r="I212" s="981"/>
      <c r="J212" s="981">
        <v>24</v>
      </c>
    </row>
    <row r="213" spans="1:10" x14ac:dyDescent="0.25">
      <c r="A213" s="981" t="s">
        <v>278</v>
      </c>
      <c r="B213" s="981" t="s">
        <v>253</v>
      </c>
      <c r="C213" s="981" t="s">
        <v>412</v>
      </c>
      <c r="D213" s="981" t="s">
        <v>176</v>
      </c>
      <c r="E213" s="981">
        <v>340</v>
      </c>
      <c r="F213" s="981"/>
      <c r="G213" s="981"/>
      <c r="H213" s="981">
        <v>272</v>
      </c>
      <c r="I213" s="981"/>
      <c r="J213" s="981">
        <v>68</v>
      </c>
    </row>
    <row r="214" spans="1:10" x14ac:dyDescent="0.25">
      <c r="A214" s="981" t="s">
        <v>278</v>
      </c>
      <c r="B214" s="981" t="s">
        <v>253</v>
      </c>
      <c r="C214" s="981" t="s">
        <v>411</v>
      </c>
      <c r="D214" s="981" t="s">
        <v>177</v>
      </c>
      <c r="E214" s="981">
        <v>202</v>
      </c>
      <c r="F214" s="981"/>
      <c r="G214" s="981"/>
      <c r="H214" s="981">
        <v>164</v>
      </c>
      <c r="I214" s="981"/>
      <c r="J214" s="981">
        <v>38</v>
      </c>
    </row>
    <row r="215" spans="1:10" x14ac:dyDescent="0.25">
      <c r="A215" s="981" t="s">
        <v>278</v>
      </c>
      <c r="B215" s="981" t="s">
        <v>253</v>
      </c>
      <c r="C215" s="981" t="s">
        <v>413</v>
      </c>
      <c r="D215" s="981" t="s">
        <v>175</v>
      </c>
      <c r="E215" s="981">
        <v>180</v>
      </c>
      <c r="F215" s="981"/>
      <c r="G215" s="981"/>
      <c r="H215" s="981">
        <v>135</v>
      </c>
      <c r="I215" s="981"/>
      <c r="J215" s="981">
        <v>45</v>
      </c>
    </row>
    <row r="216" spans="1:10" x14ac:dyDescent="0.25">
      <c r="A216" s="981" t="s">
        <v>278</v>
      </c>
      <c r="B216" s="981" t="s">
        <v>254</v>
      </c>
      <c r="C216" s="981" t="s">
        <v>391</v>
      </c>
      <c r="D216" s="981" t="s">
        <v>263</v>
      </c>
      <c r="E216" s="981">
        <v>614</v>
      </c>
      <c r="F216" s="981">
        <v>165</v>
      </c>
      <c r="G216" s="981"/>
      <c r="H216" s="981">
        <v>267</v>
      </c>
      <c r="I216" s="981"/>
      <c r="J216" s="981">
        <v>182</v>
      </c>
    </row>
    <row r="217" spans="1:10" x14ac:dyDescent="0.25">
      <c r="A217" s="981" t="s">
        <v>259</v>
      </c>
      <c r="B217" s="981" t="s">
        <v>251</v>
      </c>
      <c r="C217" s="981" t="s">
        <v>287</v>
      </c>
      <c r="D217" s="981" t="s">
        <v>35</v>
      </c>
      <c r="E217" s="981">
        <v>47</v>
      </c>
      <c r="F217" s="981"/>
      <c r="G217" s="981">
        <v>22</v>
      </c>
      <c r="H217" s="981"/>
      <c r="I217" s="981"/>
      <c r="J217" s="981">
        <v>25</v>
      </c>
    </row>
    <row r="218" spans="1:10" x14ac:dyDescent="0.25">
      <c r="A218" s="981" t="s">
        <v>259</v>
      </c>
      <c r="B218" s="981" t="s">
        <v>251</v>
      </c>
      <c r="C218" s="981" t="s">
        <v>288</v>
      </c>
      <c r="D218" s="981" t="s">
        <v>36</v>
      </c>
      <c r="E218" s="981">
        <v>247</v>
      </c>
      <c r="F218" s="981"/>
      <c r="G218" s="981">
        <v>189</v>
      </c>
      <c r="H218" s="981"/>
      <c r="I218" s="981">
        <v>4</v>
      </c>
      <c r="J218" s="981">
        <v>54</v>
      </c>
    </row>
    <row r="219" spans="1:10" x14ac:dyDescent="0.25">
      <c r="A219" s="981" t="s">
        <v>259</v>
      </c>
      <c r="B219" s="981" t="s">
        <v>251</v>
      </c>
      <c r="C219" s="981" t="s">
        <v>289</v>
      </c>
      <c r="D219" s="981" t="s">
        <v>38</v>
      </c>
      <c r="E219" s="981">
        <v>131</v>
      </c>
      <c r="F219" s="981"/>
      <c r="G219" s="981">
        <v>82</v>
      </c>
      <c r="H219" s="981"/>
      <c r="I219" s="981"/>
      <c r="J219" s="981">
        <v>49</v>
      </c>
    </row>
    <row r="220" spans="1:10" x14ac:dyDescent="0.25">
      <c r="A220" s="981" t="s">
        <v>259</v>
      </c>
      <c r="B220" s="981" t="s">
        <v>251</v>
      </c>
      <c r="C220" s="981" t="s">
        <v>290</v>
      </c>
      <c r="D220" s="981" t="s">
        <v>40</v>
      </c>
      <c r="E220" s="981">
        <v>79</v>
      </c>
      <c r="F220" s="981"/>
      <c r="G220" s="981">
        <v>56</v>
      </c>
      <c r="H220" s="981"/>
      <c r="I220" s="981"/>
      <c r="J220" s="981">
        <v>23</v>
      </c>
    </row>
    <row r="221" spans="1:10" x14ac:dyDescent="0.25">
      <c r="A221" s="981" t="s">
        <v>259</v>
      </c>
      <c r="B221" s="981" t="s">
        <v>251</v>
      </c>
      <c r="C221" s="981" t="s">
        <v>291</v>
      </c>
      <c r="D221" s="981" t="s">
        <v>41</v>
      </c>
      <c r="E221" s="981">
        <v>51</v>
      </c>
      <c r="F221" s="981"/>
      <c r="G221" s="981"/>
      <c r="H221" s="981"/>
      <c r="I221" s="981"/>
      <c r="J221" s="981">
        <v>51</v>
      </c>
    </row>
    <row r="222" spans="1:10" x14ac:dyDescent="0.25">
      <c r="A222" s="981" t="s">
        <v>259</v>
      </c>
      <c r="B222" s="981" t="s">
        <v>251</v>
      </c>
      <c r="C222" s="981" t="s">
        <v>292</v>
      </c>
      <c r="D222" s="981" t="s">
        <v>48</v>
      </c>
      <c r="E222" s="981">
        <v>131</v>
      </c>
      <c r="F222" s="981"/>
      <c r="G222" s="981">
        <v>131</v>
      </c>
      <c r="H222" s="981"/>
      <c r="I222" s="981"/>
      <c r="J222" s="981"/>
    </row>
    <row r="223" spans="1:10" x14ac:dyDescent="0.25">
      <c r="A223" s="981" t="s">
        <v>259</v>
      </c>
      <c r="B223" s="981" t="s">
        <v>251</v>
      </c>
      <c r="C223" s="981" t="s">
        <v>293</v>
      </c>
      <c r="D223" s="981" t="s">
        <v>42</v>
      </c>
      <c r="E223" s="981">
        <v>141</v>
      </c>
      <c r="F223" s="981"/>
      <c r="G223" s="981">
        <v>54</v>
      </c>
      <c r="H223" s="981"/>
      <c r="I223" s="981"/>
      <c r="J223" s="981">
        <v>87</v>
      </c>
    </row>
    <row r="224" spans="1:10" x14ac:dyDescent="0.25">
      <c r="A224" s="981" t="s">
        <v>259</v>
      </c>
      <c r="B224" s="981" t="s">
        <v>251</v>
      </c>
      <c r="C224" s="981" t="s">
        <v>294</v>
      </c>
      <c r="D224" s="981" t="s">
        <v>44</v>
      </c>
      <c r="E224" s="981">
        <v>670</v>
      </c>
      <c r="F224" s="981"/>
      <c r="G224" s="981">
        <v>538</v>
      </c>
      <c r="H224" s="981"/>
      <c r="I224" s="981">
        <v>64</v>
      </c>
      <c r="J224" s="981">
        <v>68</v>
      </c>
    </row>
    <row r="225" spans="1:10" x14ac:dyDescent="0.25">
      <c r="A225" s="981" t="s">
        <v>259</v>
      </c>
      <c r="B225" s="981" t="s">
        <v>251</v>
      </c>
      <c r="C225" s="981" t="s">
        <v>295</v>
      </c>
      <c r="D225" s="981" t="s">
        <v>45</v>
      </c>
      <c r="E225" s="981">
        <v>114</v>
      </c>
      <c r="F225" s="981"/>
      <c r="G225" s="981">
        <v>42</v>
      </c>
      <c r="H225" s="981"/>
      <c r="I225" s="981"/>
      <c r="J225" s="981">
        <v>72</v>
      </c>
    </row>
    <row r="226" spans="1:10" x14ac:dyDescent="0.25">
      <c r="A226" s="981" t="s">
        <v>259</v>
      </c>
      <c r="B226" s="981" t="s">
        <v>251</v>
      </c>
      <c r="C226" s="981" t="s">
        <v>296</v>
      </c>
      <c r="D226" s="981" t="s">
        <v>46</v>
      </c>
      <c r="E226" s="981">
        <v>40</v>
      </c>
      <c r="F226" s="981"/>
      <c r="G226" s="981">
        <v>12</v>
      </c>
      <c r="H226" s="981"/>
      <c r="I226" s="981"/>
      <c r="J226" s="981">
        <v>28</v>
      </c>
    </row>
    <row r="227" spans="1:10" x14ac:dyDescent="0.25">
      <c r="A227" s="981" t="s">
        <v>259</v>
      </c>
      <c r="B227" s="981" t="s">
        <v>251</v>
      </c>
      <c r="C227" s="981" t="s">
        <v>297</v>
      </c>
      <c r="D227" s="981" t="s">
        <v>47</v>
      </c>
      <c r="E227" s="981">
        <v>149</v>
      </c>
      <c r="F227" s="981"/>
      <c r="G227" s="981">
        <v>120</v>
      </c>
      <c r="H227" s="981"/>
      <c r="I227" s="981"/>
      <c r="J227" s="981">
        <v>29</v>
      </c>
    </row>
    <row r="228" spans="1:10" x14ac:dyDescent="0.25">
      <c r="A228" s="981" t="s">
        <v>259</v>
      </c>
      <c r="B228" s="981" t="s">
        <v>251</v>
      </c>
      <c r="C228" s="981" t="s">
        <v>298</v>
      </c>
      <c r="D228" s="981" t="s">
        <v>49</v>
      </c>
      <c r="E228" s="981">
        <v>205</v>
      </c>
      <c r="F228" s="981"/>
      <c r="G228" s="981">
        <v>106</v>
      </c>
      <c r="H228" s="981"/>
      <c r="I228" s="981">
        <v>23</v>
      </c>
      <c r="J228" s="981">
        <v>76</v>
      </c>
    </row>
    <row r="229" spans="1:10" x14ac:dyDescent="0.25">
      <c r="A229" s="981" t="s">
        <v>259</v>
      </c>
      <c r="B229" s="981" t="s">
        <v>251</v>
      </c>
      <c r="C229" s="981" t="s">
        <v>299</v>
      </c>
      <c r="D229" s="981" t="s">
        <v>51</v>
      </c>
      <c r="E229" s="981">
        <v>100</v>
      </c>
      <c r="F229" s="981"/>
      <c r="G229" s="981">
        <v>100</v>
      </c>
      <c r="H229" s="981"/>
      <c r="I229" s="981"/>
      <c r="J229" s="981"/>
    </row>
    <row r="230" spans="1:10" x14ac:dyDescent="0.25">
      <c r="A230" s="981" t="s">
        <v>259</v>
      </c>
      <c r="B230" s="981" t="s">
        <v>251</v>
      </c>
      <c r="C230" s="981" t="s">
        <v>300</v>
      </c>
      <c r="D230" s="981" t="s">
        <v>52</v>
      </c>
      <c r="E230" s="981">
        <v>223</v>
      </c>
      <c r="F230" s="981"/>
      <c r="G230" s="981">
        <v>126</v>
      </c>
      <c r="H230" s="981"/>
      <c r="I230" s="981">
        <v>28</v>
      </c>
      <c r="J230" s="981">
        <v>69</v>
      </c>
    </row>
    <row r="231" spans="1:10" x14ac:dyDescent="0.25">
      <c r="A231" s="981" t="s">
        <v>259</v>
      </c>
      <c r="B231" s="981" t="s">
        <v>251</v>
      </c>
      <c r="C231" s="981" t="s">
        <v>301</v>
      </c>
      <c r="D231" s="981" t="s">
        <v>54</v>
      </c>
      <c r="E231" s="981">
        <v>194</v>
      </c>
      <c r="F231" s="981"/>
      <c r="G231" s="981">
        <v>143</v>
      </c>
      <c r="H231" s="981"/>
      <c r="I231" s="981"/>
      <c r="J231" s="981">
        <v>51</v>
      </c>
    </row>
    <row r="232" spans="1:10" x14ac:dyDescent="0.25">
      <c r="A232" s="981" t="s">
        <v>259</v>
      </c>
      <c r="B232" s="981" t="s">
        <v>251</v>
      </c>
      <c r="C232" s="981" t="s">
        <v>302</v>
      </c>
      <c r="D232" s="981" t="s">
        <v>55</v>
      </c>
      <c r="E232" s="981">
        <v>118</v>
      </c>
      <c r="F232" s="981"/>
      <c r="G232" s="981">
        <v>118</v>
      </c>
      <c r="H232" s="981"/>
      <c r="I232" s="981"/>
      <c r="J232" s="981"/>
    </row>
    <row r="233" spans="1:10" x14ac:dyDescent="0.25">
      <c r="A233" s="981" t="s">
        <v>259</v>
      </c>
      <c r="B233" s="981" t="s">
        <v>251</v>
      </c>
      <c r="C233" s="981" t="s">
        <v>303</v>
      </c>
      <c r="D233" s="981" t="s">
        <v>56</v>
      </c>
      <c r="E233" s="981">
        <v>99</v>
      </c>
      <c r="F233" s="981"/>
      <c r="G233" s="981">
        <v>49</v>
      </c>
      <c r="H233" s="981"/>
      <c r="I233" s="981"/>
      <c r="J233" s="981">
        <v>50</v>
      </c>
    </row>
    <row r="234" spans="1:10" x14ac:dyDescent="0.25">
      <c r="A234" s="981" t="s">
        <v>259</v>
      </c>
      <c r="B234" s="981" t="s">
        <v>251</v>
      </c>
      <c r="C234" s="981" t="s">
        <v>304</v>
      </c>
      <c r="D234" s="981" t="s">
        <v>57</v>
      </c>
      <c r="E234" s="981">
        <v>241</v>
      </c>
      <c r="F234" s="981"/>
      <c r="G234" s="981">
        <v>73</v>
      </c>
      <c r="H234" s="981"/>
      <c r="I234" s="981">
        <v>2</v>
      </c>
      <c r="J234" s="981">
        <v>166</v>
      </c>
    </row>
    <row r="235" spans="1:10" x14ac:dyDescent="0.25">
      <c r="A235" s="981" t="s">
        <v>259</v>
      </c>
      <c r="B235" s="981" t="s">
        <v>251</v>
      </c>
      <c r="C235" s="981" t="s">
        <v>305</v>
      </c>
      <c r="D235" s="981" t="s">
        <v>58</v>
      </c>
      <c r="E235" s="981">
        <v>122</v>
      </c>
      <c r="F235" s="981"/>
      <c r="G235" s="981">
        <v>74</v>
      </c>
      <c r="H235" s="981"/>
      <c r="I235" s="981"/>
      <c r="J235" s="981">
        <v>48</v>
      </c>
    </row>
    <row r="236" spans="1:10" x14ac:dyDescent="0.25">
      <c r="A236" s="981" t="s">
        <v>259</v>
      </c>
      <c r="B236" s="981" t="s">
        <v>251</v>
      </c>
      <c r="C236" s="981" t="s">
        <v>306</v>
      </c>
      <c r="D236" s="981" t="s">
        <v>31</v>
      </c>
      <c r="E236" s="981">
        <v>153</v>
      </c>
      <c r="F236" s="981"/>
      <c r="G236" s="981">
        <v>8</v>
      </c>
      <c r="H236" s="981"/>
      <c r="I236" s="981"/>
      <c r="J236" s="981">
        <v>145</v>
      </c>
    </row>
    <row r="237" spans="1:10" x14ac:dyDescent="0.25">
      <c r="A237" s="981" t="s">
        <v>259</v>
      </c>
      <c r="B237" s="981" t="s">
        <v>251</v>
      </c>
      <c r="C237" s="981" t="s">
        <v>307</v>
      </c>
      <c r="D237" s="981" t="s">
        <v>32</v>
      </c>
      <c r="E237" s="981">
        <v>299</v>
      </c>
      <c r="F237" s="981"/>
      <c r="G237" s="981">
        <v>275</v>
      </c>
      <c r="H237" s="981"/>
      <c r="I237" s="981"/>
      <c r="J237" s="981">
        <v>24</v>
      </c>
    </row>
    <row r="238" spans="1:10" x14ac:dyDescent="0.25">
      <c r="A238" s="981" t="s">
        <v>259</v>
      </c>
      <c r="B238" s="981" t="s">
        <v>251</v>
      </c>
      <c r="C238" s="981" t="s">
        <v>308</v>
      </c>
      <c r="D238" s="981" t="s">
        <v>34</v>
      </c>
      <c r="E238" s="981">
        <v>438</v>
      </c>
      <c r="F238" s="981"/>
      <c r="G238" s="981">
        <v>177</v>
      </c>
      <c r="H238" s="981"/>
      <c r="I238" s="981">
        <v>211</v>
      </c>
      <c r="J238" s="981">
        <v>50</v>
      </c>
    </row>
    <row r="239" spans="1:10" x14ac:dyDescent="0.25">
      <c r="A239" s="981" t="s">
        <v>259</v>
      </c>
      <c r="B239" s="981" t="s">
        <v>251</v>
      </c>
      <c r="C239" s="981" t="s">
        <v>309</v>
      </c>
      <c r="D239" s="981" t="s">
        <v>262</v>
      </c>
      <c r="E239" s="981">
        <v>304</v>
      </c>
      <c r="F239" s="981"/>
      <c r="G239" s="981">
        <v>11</v>
      </c>
      <c r="H239" s="981"/>
      <c r="I239" s="981"/>
      <c r="J239" s="981">
        <v>293</v>
      </c>
    </row>
    <row r="240" spans="1:10" x14ac:dyDescent="0.25">
      <c r="A240" s="981" t="s">
        <v>259</v>
      </c>
      <c r="B240" s="981" t="s">
        <v>251</v>
      </c>
      <c r="C240" s="981" t="s">
        <v>310</v>
      </c>
      <c r="D240" s="981" t="s">
        <v>53</v>
      </c>
      <c r="E240" s="981">
        <v>110</v>
      </c>
      <c r="F240" s="981"/>
      <c r="G240" s="981">
        <v>16</v>
      </c>
      <c r="H240" s="981"/>
      <c r="I240" s="981"/>
      <c r="J240" s="981">
        <v>94</v>
      </c>
    </row>
    <row r="241" spans="1:10" x14ac:dyDescent="0.25">
      <c r="A241" s="981" t="s">
        <v>259</v>
      </c>
      <c r="B241" s="981" t="s">
        <v>251</v>
      </c>
      <c r="C241" s="981" t="s">
        <v>311</v>
      </c>
      <c r="D241" s="981" t="s">
        <v>59</v>
      </c>
      <c r="E241" s="981">
        <v>86</v>
      </c>
      <c r="F241" s="981"/>
      <c r="G241" s="981">
        <v>18</v>
      </c>
      <c r="H241" s="981"/>
      <c r="I241" s="981"/>
      <c r="J241" s="981">
        <v>68</v>
      </c>
    </row>
    <row r="242" spans="1:10" x14ac:dyDescent="0.25">
      <c r="A242" s="981" t="s">
        <v>259</v>
      </c>
      <c r="B242" s="981" t="s">
        <v>251</v>
      </c>
      <c r="C242" s="981" t="s">
        <v>312</v>
      </c>
      <c r="D242" s="981" t="s">
        <v>60</v>
      </c>
      <c r="E242" s="981">
        <v>123</v>
      </c>
      <c r="F242" s="981"/>
      <c r="G242" s="981">
        <v>65</v>
      </c>
      <c r="H242" s="981"/>
      <c r="I242" s="981"/>
      <c r="J242" s="981">
        <v>58</v>
      </c>
    </row>
    <row r="243" spans="1:10" x14ac:dyDescent="0.25">
      <c r="A243" s="981" t="s">
        <v>259</v>
      </c>
      <c r="B243" s="981" t="s">
        <v>251</v>
      </c>
      <c r="C243" s="981" t="s">
        <v>313</v>
      </c>
      <c r="D243" s="981" t="s">
        <v>33</v>
      </c>
      <c r="E243" s="981">
        <v>121</v>
      </c>
      <c r="F243" s="981"/>
      <c r="G243" s="981">
        <v>93</v>
      </c>
      <c r="H243" s="981"/>
      <c r="I243" s="981"/>
      <c r="J243" s="981">
        <v>28</v>
      </c>
    </row>
    <row r="244" spans="1:10" x14ac:dyDescent="0.25">
      <c r="A244" s="981" t="s">
        <v>259</v>
      </c>
      <c r="B244" s="981" t="s">
        <v>251</v>
      </c>
      <c r="C244" s="981" t="s">
        <v>314</v>
      </c>
      <c r="D244" s="981" t="s">
        <v>37</v>
      </c>
      <c r="E244" s="981">
        <v>191</v>
      </c>
      <c r="F244" s="981"/>
      <c r="G244" s="981">
        <v>13</v>
      </c>
      <c r="H244" s="981"/>
      <c r="I244" s="981"/>
      <c r="J244" s="981">
        <v>178</v>
      </c>
    </row>
    <row r="245" spans="1:10" x14ac:dyDescent="0.25">
      <c r="A245" s="981" t="s">
        <v>259</v>
      </c>
      <c r="B245" s="981" t="s">
        <v>251</v>
      </c>
      <c r="C245" s="981" t="s">
        <v>315</v>
      </c>
      <c r="D245" s="981" t="s">
        <v>50</v>
      </c>
      <c r="E245" s="981">
        <v>200</v>
      </c>
      <c r="F245" s="981"/>
      <c r="G245" s="981">
        <v>37</v>
      </c>
      <c r="H245" s="981"/>
      <c r="I245" s="981"/>
      <c r="J245" s="981">
        <v>163</v>
      </c>
    </row>
    <row r="246" spans="1:10" x14ac:dyDescent="0.25">
      <c r="A246" s="981" t="s">
        <v>259</v>
      </c>
      <c r="B246" s="981" t="s">
        <v>251</v>
      </c>
      <c r="C246" s="981" t="s">
        <v>316</v>
      </c>
      <c r="D246" s="981" t="s">
        <v>39</v>
      </c>
      <c r="E246" s="981">
        <v>78</v>
      </c>
      <c r="F246" s="981"/>
      <c r="G246" s="981"/>
      <c r="H246" s="981"/>
      <c r="I246" s="981"/>
      <c r="J246" s="981">
        <v>78</v>
      </c>
    </row>
    <row r="247" spans="1:10" x14ac:dyDescent="0.25">
      <c r="A247" s="981" t="s">
        <v>259</v>
      </c>
      <c r="B247" s="981" t="s">
        <v>251</v>
      </c>
      <c r="C247" s="981" t="s">
        <v>317</v>
      </c>
      <c r="D247" s="981" t="s">
        <v>124</v>
      </c>
      <c r="E247" s="981">
        <v>489</v>
      </c>
      <c r="F247" s="981"/>
      <c r="G247" s="981"/>
      <c r="H247" s="981"/>
      <c r="I247" s="981"/>
      <c r="J247" s="981">
        <v>489</v>
      </c>
    </row>
    <row r="248" spans="1:10" x14ac:dyDescent="0.25">
      <c r="A248" s="981" t="s">
        <v>259</v>
      </c>
      <c r="B248" s="981" t="s">
        <v>251</v>
      </c>
      <c r="C248" s="981" t="s">
        <v>318</v>
      </c>
      <c r="D248" s="981" t="s">
        <v>43</v>
      </c>
      <c r="E248" s="981">
        <v>369</v>
      </c>
      <c r="F248" s="981"/>
      <c r="G248" s="981">
        <v>115</v>
      </c>
      <c r="H248" s="981"/>
      <c r="I248" s="981"/>
      <c r="J248" s="981">
        <v>254</v>
      </c>
    </row>
    <row r="249" spans="1:10" x14ac:dyDescent="0.25">
      <c r="A249" s="981" t="s">
        <v>259</v>
      </c>
      <c r="B249" s="981" t="s">
        <v>252</v>
      </c>
      <c r="C249" s="981" t="s">
        <v>374</v>
      </c>
      <c r="D249" s="981" t="s">
        <v>31</v>
      </c>
      <c r="E249" s="981">
        <v>15</v>
      </c>
      <c r="F249" s="981"/>
      <c r="G249" s="981"/>
      <c r="H249" s="981"/>
      <c r="I249" s="981"/>
      <c r="J249" s="981">
        <v>15</v>
      </c>
    </row>
    <row r="250" spans="1:10" x14ac:dyDescent="0.25">
      <c r="A250" s="981" t="s">
        <v>259</v>
      </c>
      <c r="B250" s="981" t="s">
        <v>252</v>
      </c>
      <c r="C250" s="981" t="s">
        <v>375</v>
      </c>
      <c r="D250" s="981" t="s">
        <v>64</v>
      </c>
      <c r="E250" s="981">
        <v>25</v>
      </c>
      <c r="F250" s="981"/>
      <c r="G250" s="981"/>
      <c r="H250" s="981"/>
      <c r="I250" s="981"/>
      <c r="J250" s="981">
        <v>25</v>
      </c>
    </row>
    <row r="251" spans="1:10" x14ac:dyDescent="0.25">
      <c r="A251" s="981" t="s">
        <v>259</v>
      </c>
      <c r="B251" s="981" t="s">
        <v>252</v>
      </c>
      <c r="C251" s="981" t="s">
        <v>377</v>
      </c>
      <c r="D251" s="981" t="s">
        <v>65</v>
      </c>
      <c r="E251" s="981">
        <v>26</v>
      </c>
      <c r="F251" s="981"/>
      <c r="G251" s="981"/>
      <c r="H251" s="981"/>
      <c r="I251" s="981"/>
      <c r="J251" s="981">
        <v>26</v>
      </c>
    </row>
    <row r="252" spans="1:10" x14ac:dyDescent="0.25">
      <c r="A252" s="981" t="s">
        <v>259</v>
      </c>
      <c r="B252" s="981" t="s">
        <v>252</v>
      </c>
      <c r="C252" s="981" t="s">
        <v>378</v>
      </c>
      <c r="D252" s="981" t="s">
        <v>36</v>
      </c>
      <c r="E252" s="981">
        <v>22</v>
      </c>
      <c r="F252" s="981"/>
      <c r="G252" s="981"/>
      <c r="H252" s="981"/>
      <c r="I252" s="981"/>
      <c r="J252" s="981">
        <v>22</v>
      </c>
    </row>
    <row r="253" spans="1:10" x14ac:dyDescent="0.25">
      <c r="A253" s="981" t="s">
        <v>259</v>
      </c>
      <c r="B253" s="981" t="s">
        <v>252</v>
      </c>
      <c r="C253" s="981" t="s">
        <v>379</v>
      </c>
      <c r="D253" s="981" t="s">
        <v>68</v>
      </c>
      <c r="E253" s="981">
        <v>27</v>
      </c>
      <c r="F253" s="981"/>
      <c r="G253" s="981"/>
      <c r="H253" s="981"/>
      <c r="I253" s="981"/>
      <c r="J253" s="981">
        <v>27</v>
      </c>
    </row>
    <row r="254" spans="1:10" x14ac:dyDescent="0.25">
      <c r="A254" s="981" t="s">
        <v>259</v>
      </c>
      <c r="B254" s="981" t="s">
        <v>252</v>
      </c>
      <c r="C254" s="981" t="s">
        <v>380</v>
      </c>
      <c r="D254" s="981" t="s">
        <v>69</v>
      </c>
      <c r="E254" s="981">
        <v>27</v>
      </c>
      <c r="F254" s="981"/>
      <c r="G254" s="981"/>
      <c r="H254" s="981"/>
      <c r="I254" s="981"/>
      <c r="J254" s="981">
        <v>27</v>
      </c>
    </row>
    <row r="255" spans="1:10" x14ac:dyDescent="0.25">
      <c r="A255" s="981" t="s">
        <v>259</v>
      </c>
      <c r="B255" s="981" t="s">
        <v>252</v>
      </c>
      <c r="C255" s="981" t="s">
        <v>381</v>
      </c>
      <c r="D255" s="981" t="s">
        <v>70</v>
      </c>
      <c r="E255" s="981">
        <v>16</v>
      </c>
      <c r="F255" s="981"/>
      <c r="G255" s="981"/>
      <c r="H255" s="981"/>
      <c r="I255" s="981"/>
      <c r="J255" s="981">
        <v>16</v>
      </c>
    </row>
    <row r="256" spans="1:10" x14ac:dyDescent="0.25">
      <c r="A256" s="981" t="s">
        <v>259</v>
      </c>
      <c r="B256" s="981" t="s">
        <v>252</v>
      </c>
      <c r="C256" s="981" t="s">
        <v>382</v>
      </c>
      <c r="D256" s="981" t="s">
        <v>178</v>
      </c>
      <c r="E256" s="981">
        <v>31</v>
      </c>
      <c r="F256" s="981"/>
      <c r="G256" s="981"/>
      <c r="H256" s="981"/>
      <c r="I256" s="981"/>
      <c r="J256" s="981">
        <v>31</v>
      </c>
    </row>
    <row r="257" spans="1:10" x14ac:dyDescent="0.25">
      <c r="A257" s="981" t="s">
        <v>259</v>
      </c>
      <c r="B257" s="981" t="s">
        <v>252</v>
      </c>
      <c r="C257" s="981" t="s">
        <v>383</v>
      </c>
      <c r="D257" s="981" t="s">
        <v>71</v>
      </c>
      <c r="E257" s="981">
        <v>19</v>
      </c>
      <c r="F257" s="981"/>
      <c r="G257" s="981"/>
      <c r="H257" s="981"/>
      <c r="I257" s="981"/>
      <c r="J257" s="981">
        <v>19</v>
      </c>
    </row>
    <row r="258" spans="1:10" x14ac:dyDescent="0.25">
      <c r="A258" s="981" t="s">
        <v>259</v>
      </c>
      <c r="B258" s="981" t="s">
        <v>252</v>
      </c>
      <c r="C258" s="981" t="s">
        <v>385</v>
      </c>
      <c r="D258" s="981" t="s">
        <v>124</v>
      </c>
      <c r="E258" s="981">
        <v>22</v>
      </c>
      <c r="F258" s="981"/>
      <c r="G258" s="981"/>
      <c r="H258" s="981"/>
      <c r="I258" s="981"/>
      <c r="J258" s="981">
        <v>22</v>
      </c>
    </row>
    <row r="259" spans="1:10" x14ac:dyDescent="0.25">
      <c r="A259" s="981" t="s">
        <v>259</v>
      </c>
      <c r="B259" s="981" t="s">
        <v>252</v>
      </c>
      <c r="C259" s="981" t="s">
        <v>386</v>
      </c>
      <c r="D259" s="981" t="s">
        <v>72</v>
      </c>
      <c r="E259" s="981">
        <v>32</v>
      </c>
      <c r="F259" s="981"/>
      <c r="G259" s="981"/>
      <c r="H259" s="981"/>
      <c r="I259" s="981"/>
      <c r="J259" s="981">
        <v>32</v>
      </c>
    </row>
    <row r="260" spans="1:10" x14ac:dyDescent="0.25">
      <c r="A260" s="981" t="s">
        <v>259</v>
      </c>
      <c r="B260" s="981" t="s">
        <v>252</v>
      </c>
      <c r="C260" s="981" t="s">
        <v>387</v>
      </c>
      <c r="D260" s="981" t="s">
        <v>50</v>
      </c>
      <c r="E260" s="981">
        <v>17</v>
      </c>
      <c r="F260" s="981"/>
      <c r="G260" s="981"/>
      <c r="H260" s="981"/>
      <c r="I260" s="981"/>
      <c r="J260" s="981">
        <v>17</v>
      </c>
    </row>
    <row r="261" spans="1:10" x14ac:dyDescent="0.25">
      <c r="A261" s="981" t="s">
        <v>259</v>
      </c>
      <c r="B261" s="981" t="s">
        <v>252</v>
      </c>
      <c r="C261" s="981" t="s">
        <v>388</v>
      </c>
      <c r="D261" s="981" t="s">
        <v>57</v>
      </c>
      <c r="E261" s="981">
        <v>16</v>
      </c>
      <c r="F261" s="981"/>
      <c r="G261" s="981"/>
      <c r="H261" s="981"/>
      <c r="I261" s="981"/>
      <c r="J261" s="981">
        <v>16</v>
      </c>
    </row>
    <row r="262" spans="1:10" x14ac:dyDescent="0.25">
      <c r="A262" s="981" t="s">
        <v>259</v>
      </c>
      <c r="B262" s="981" t="s">
        <v>252</v>
      </c>
      <c r="C262" s="981" t="s">
        <v>389</v>
      </c>
      <c r="D262" s="981" t="s">
        <v>73</v>
      </c>
      <c r="E262" s="981">
        <v>18</v>
      </c>
      <c r="F262" s="981"/>
      <c r="G262" s="981"/>
      <c r="H262" s="981"/>
      <c r="I262" s="981"/>
      <c r="J262" s="981">
        <v>18</v>
      </c>
    </row>
    <row r="263" spans="1:10" x14ac:dyDescent="0.25">
      <c r="A263" s="981" t="s">
        <v>259</v>
      </c>
      <c r="B263" s="981" t="s">
        <v>252</v>
      </c>
      <c r="C263" s="981" t="s">
        <v>390</v>
      </c>
      <c r="D263" s="981" t="s">
        <v>74</v>
      </c>
      <c r="E263" s="981">
        <v>19</v>
      </c>
      <c r="F263" s="981"/>
      <c r="G263" s="981"/>
      <c r="H263" s="981"/>
      <c r="I263" s="981"/>
      <c r="J263" s="981">
        <v>19</v>
      </c>
    </row>
    <row r="264" spans="1:10" x14ac:dyDescent="0.25">
      <c r="A264" s="981" t="s">
        <v>259</v>
      </c>
      <c r="B264" s="981" t="s">
        <v>252</v>
      </c>
      <c r="C264" s="981" t="s">
        <v>376</v>
      </c>
      <c r="D264" s="981" t="s">
        <v>67</v>
      </c>
      <c r="E264" s="981">
        <v>28</v>
      </c>
      <c r="F264" s="981"/>
      <c r="G264" s="981"/>
      <c r="H264" s="981"/>
      <c r="I264" s="981"/>
      <c r="J264" s="981">
        <v>28</v>
      </c>
    </row>
    <row r="265" spans="1:10" x14ac:dyDescent="0.25">
      <c r="A265" s="981" t="s">
        <v>259</v>
      </c>
      <c r="B265" s="981" t="s">
        <v>252</v>
      </c>
      <c r="C265" s="981" t="s">
        <v>384</v>
      </c>
      <c r="D265" s="981" t="s">
        <v>43</v>
      </c>
      <c r="E265" s="981">
        <v>19</v>
      </c>
      <c r="F265" s="981"/>
      <c r="G265" s="981"/>
      <c r="H265" s="981"/>
      <c r="I265" s="981"/>
      <c r="J265" s="981">
        <v>19</v>
      </c>
    </row>
    <row r="266" spans="1:10" x14ac:dyDescent="0.25">
      <c r="A266" s="981" t="s">
        <v>259</v>
      </c>
      <c r="B266" s="981" t="s">
        <v>253</v>
      </c>
      <c r="C266" s="981" t="s">
        <v>412</v>
      </c>
      <c r="D266" s="981" t="s">
        <v>176</v>
      </c>
      <c r="E266" s="981">
        <v>373</v>
      </c>
      <c r="F266" s="981"/>
      <c r="G266" s="981"/>
      <c r="H266" s="981">
        <v>300</v>
      </c>
      <c r="I266" s="981"/>
      <c r="J266" s="981">
        <v>73</v>
      </c>
    </row>
    <row r="267" spans="1:10" x14ac:dyDescent="0.25">
      <c r="A267" s="981" t="s">
        <v>259</v>
      </c>
      <c r="B267" s="981" t="s">
        <v>253</v>
      </c>
      <c r="C267" s="981" t="s">
        <v>411</v>
      </c>
      <c r="D267" s="981" t="s">
        <v>177</v>
      </c>
      <c r="E267" s="981">
        <v>165</v>
      </c>
      <c r="F267" s="981"/>
      <c r="G267" s="981"/>
      <c r="H267" s="981">
        <v>128</v>
      </c>
      <c r="I267" s="981"/>
      <c r="J267" s="981">
        <v>37</v>
      </c>
    </row>
    <row r="268" spans="1:10" x14ac:dyDescent="0.25">
      <c r="A268" s="981" t="s">
        <v>259</v>
      </c>
      <c r="B268" s="981" t="s">
        <v>253</v>
      </c>
      <c r="C268" s="981" t="s">
        <v>413</v>
      </c>
      <c r="D268" s="981" t="s">
        <v>175</v>
      </c>
      <c r="E268" s="981">
        <v>187</v>
      </c>
      <c r="F268" s="981"/>
      <c r="G268" s="981"/>
      <c r="H268" s="981">
        <v>141</v>
      </c>
      <c r="I268" s="981"/>
      <c r="J268" s="981">
        <v>46</v>
      </c>
    </row>
    <row r="269" spans="1:10" x14ac:dyDescent="0.25">
      <c r="A269" s="981" t="s">
        <v>259</v>
      </c>
      <c r="B269" s="981" t="s">
        <v>254</v>
      </c>
      <c r="C269" s="981" t="s">
        <v>391</v>
      </c>
      <c r="D269" s="981" t="s">
        <v>263</v>
      </c>
      <c r="E269" s="981">
        <v>609</v>
      </c>
      <c r="F269" s="981">
        <v>189</v>
      </c>
      <c r="G269" s="981"/>
      <c r="H269" s="981">
        <v>277</v>
      </c>
      <c r="I269" s="981"/>
      <c r="J269" s="981">
        <v>143</v>
      </c>
    </row>
    <row r="270" spans="1:10" x14ac:dyDescent="0.25">
      <c r="A270" s="981" t="s">
        <v>258</v>
      </c>
      <c r="B270" s="981" t="s">
        <v>251</v>
      </c>
      <c r="C270" s="981" t="s">
        <v>287</v>
      </c>
      <c r="D270" s="981" t="s">
        <v>35</v>
      </c>
      <c r="E270" s="981">
        <v>45</v>
      </c>
      <c r="F270" s="981"/>
      <c r="G270" s="981">
        <v>20</v>
      </c>
      <c r="H270" s="981"/>
      <c r="I270" s="981"/>
      <c r="J270" s="981">
        <v>25</v>
      </c>
    </row>
    <row r="271" spans="1:10" x14ac:dyDescent="0.25">
      <c r="A271" s="981" t="s">
        <v>258</v>
      </c>
      <c r="B271" s="981" t="s">
        <v>251</v>
      </c>
      <c r="C271" s="981" t="s">
        <v>288</v>
      </c>
      <c r="D271" s="981" t="s">
        <v>36</v>
      </c>
      <c r="E271" s="981">
        <v>258</v>
      </c>
      <c r="F271" s="981"/>
      <c r="G271" s="981">
        <v>199</v>
      </c>
      <c r="H271" s="981"/>
      <c r="I271" s="981">
        <v>6</v>
      </c>
      <c r="J271" s="981">
        <v>53</v>
      </c>
    </row>
    <row r="272" spans="1:10" x14ac:dyDescent="0.25">
      <c r="A272" s="981" t="s">
        <v>258</v>
      </c>
      <c r="B272" s="981" t="s">
        <v>251</v>
      </c>
      <c r="C272" s="981" t="s">
        <v>289</v>
      </c>
      <c r="D272" s="981" t="s">
        <v>38</v>
      </c>
      <c r="E272" s="981">
        <v>124</v>
      </c>
      <c r="F272" s="981"/>
      <c r="G272" s="981">
        <v>77</v>
      </c>
      <c r="H272" s="981"/>
      <c r="I272" s="981"/>
      <c r="J272" s="981">
        <v>47</v>
      </c>
    </row>
    <row r="273" spans="1:10" x14ac:dyDescent="0.25">
      <c r="A273" s="981" t="s">
        <v>258</v>
      </c>
      <c r="B273" s="981" t="s">
        <v>251</v>
      </c>
      <c r="C273" s="981" t="s">
        <v>290</v>
      </c>
      <c r="D273" s="981" t="s">
        <v>40</v>
      </c>
      <c r="E273" s="981">
        <v>87</v>
      </c>
      <c r="F273" s="981"/>
      <c r="G273" s="981">
        <v>63</v>
      </c>
      <c r="H273" s="981"/>
      <c r="I273" s="981"/>
      <c r="J273" s="981">
        <v>24</v>
      </c>
    </row>
    <row r="274" spans="1:10" x14ac:dyDescent="0.25">
      <c r="A274" s="981" t="s">
        <v>258</v>
      </c>
      <c r="B274" s="981" t="s">
        <v>251</v>
      </c>
      <c r="C274" s="981" t="s">
        <v>291</v>
      </c>
      <c r="D274" s="981" t="s">
        <v>41</v>
      </c>
      <c r="E274" s="981">
        <v>52</v>
      </c>
      <c r="F274" s="981"/>
      <c r="G274" s="981"/>
      <c r="H274" s="981"/>
      <c r="I274" s="981"/>
      <c r="J274" s="981">
        <v>52</v>
      </c>
    </row>
    <row r="275" spans="1:10" x14ac:dyDescent="0.25">
      <c r="A275" s="981" t="s">
        <v>258</v>
      </c>
      <c r="B275" s="981" t="s">
        <v>251</v>
      </c>
      <c r="C275" s="981" t="s">
        <v>292</v>
      </c>
      <c r="D275" s="981" t="s">
        <v>48</v>
      </c>
      <c r="E275" s="981">
        <v>133</v>
      </c>
      <c r="F275" s="981"/>
      <c r="G275" s="981">
        <v>133</v>
      </c>
      <c r="H275" s="981"/>
      <c r="I275" s="981"/>
      <c r="J275" s="981"/>
    </row>
    <row r="276" spans="1:10" x14ac:dyDescent="0.25">
      <c r="A276" s="981" t="s">
        <v>258</v>
      </c>
      <c r="B276" s="981" t="s">
        <v>251</v>
      </c>
      <c r="C276" s="981" t="s">
        <v>293</v>
      </c>
      <c r="D276" s="981" t="s">
        <v>42</v>
      </c>
      <c r="E276" s="981">
        <v>143</v>
      </c>
      <c r="F276" s="981"/>
      <c r="G276" s="981">
        <v>55</v>
      </c>
      <c r="H276" s="981"/>
      <c r="I276" s="981"/>
      <c r="J276" s="981">
        <v>88</v>
      </c>
    </row>
    <row r="277" spans="1:10" x14ac:dyDescent="0.25">
      <c r="A277" s="981" t="s">
        <v>258</v>
      </c>
      <c r="B277" s="981" t="s">
        <v>251</v>
      </c>
      <c r="C277" s="981" t="s">
        <v>294</v>
      </c>
      <c r="D277" s="981" t="s">
        <v>44</v>
      </c>
      <c r="E277" s="981">
        <v>688</v>
      </c>
      <c r="F277" s="981"/>
      <c r="G277" s="981">
        <v>556</v>
      </c>
      <c r="H277" s="981"/>
      <c r="I277" s="981">
        <v>62</v>
      </c>
      <c r="J277" s="981">
        <v>70</v>
      </c>
    </row>
    <row r="278" spans="1:10" x14ac:dyDescent="0.25">
      <c r="A278" s="981" t="s">
        <v>258</v>
      </c>
      <c r="B278" s="981" t="s">
        <v>251</v>
      </c>
      <c r="C278" s="981" t="s">
        <v>295</v>
      </c>
      <c r="D278" s="981" t="s">
        <v>45</v>
      </c>
      <c r="E278" s="981">
        <v>116</v>
      </c>
      <c r="F278" s="981"/>
      <c r="G278" s="981">
        <v>44</v>
      </c>
      <c r="H278" s="981"/>
      <c r="I278" s="981"/>
      <c r="J278" s="981">
        <v>72</v>
      </c>
    </row>
    <row r="279" spans="1:10" x14ac:dyDescent="0.25">
      <c r="A279" s="981" t="s">
        <v>258</v>
      </c>
      <c r="B279" s="981" t="s">
        <v>251</v>
      </c>
      <c r="C279" s="981" t="s">
        <v>296</v>
      </c>
      <c r="D279" s="981" t="s">
        <v>46</v>
      </c>
      <c r="E279" s="981">
        <v>39</v>
      </c>
      <c r="F279" s="981"/>
      <c r="G279" s="981">
        <v>13</v>
      </c>
      <c r="H279" s="981"/>
      <c r="I279" s="981"/>
      <c r="J279" s="981">
        <v>26</v>
      </c>
    </row>
    <row r="280" spans="1:10" x14ac:dyDescent="0.25">
      <c r="A280" s="981" t="s">
        <v>258</v>
      </c>
      <c r="B280" s="981" t="s">
        <v>251</v>
      </c>
      <c r="C280" s="981" t="s">
        <v>297</v>
      </c>
      <c r="D280" s="981" t="s">
        <v>47</v>
      </c>
      <c r="E280" s="981">
        <v>151</v>
      </c>
      <c r="F280" s="981"/>
      <c r="G280" s="981">
        <v>121</v>
      </c>
      <c r="H280" s="981"/>
      <c r="I280" s="981"/>
      <c r="J280" s="981">
        <v>30</v>
      </c>
    </row>
    <row r="281" spans="1:10" x14ac:dyDescent="0.25">
      <c r="A281" s="981" t="s">
        <v>258</v>
      </c>
      <c r="B281" s="981" t="s">
        <v>251</v>
      </c>
      <c r="C281" s="981" t="s">
        <v>298</v>
      </c>
      <c r="D281" s="981" t="s">
        <v>49</v>
      </c>
      <c r="E281" s="981">
        <v>206</v>
      </c>
      <c r="F281" s="981"/>
      <c r="G281" s="981">
        <v>108</v>
      </c>
      <c r="H281" s="981"/>
      <c r="I281" s="981">
        <v>22</v>
      </c>
      <c r="J281" s="981">
        <v>76</v>
      </c>
    </row>
    <row r="282" spans="1:10" x14ac:dyDescent="0.25">
      <c r="A282" s="981" t="s">
        <v>258</v>
      </c>
      <c r="B282" s="981" t="s">
        <v>251</v>
      </c>
      <c r="C282" s="981" t="s">
        <v>299</v>
      </c>
      <c r="D282" s="981" t="s">
        <v>51</v>
      </c>
      <c r="E282" s="981">
        <v>110</v>
      </c>
      <c r="F282" s="981"/>
      <c r="G282" s="981">
        <v>110</v>
      </c>
      <c r="H282" s="981"/>
      <c r="I282" s="981"/>
      <c r="J282" s="981"/>
    </row>
    <row r="283" spans="1:10" x14ac:dyDescent="0.25">
      <c r="A283" s="981" t="s">
        <v>258</v>
      </c>
      <c r="B283" s="981" t="s">
        <v>251</v>
      </c>
      <c r="C283" s="981" t="s">
        <v>300</v>
      </c>
      <c r="D283" s="981" t="s">
        <v>52</v>
      </c>
      <c r="E283" s="981">
        <v>223</v>
      </c>
      <c r="F283" s="981"/>
      <c r="G283" s="981">
        <v>132</v>
      </c>
      <c r="H283" s="981"/>
      <c r="I283" s="981">
        <v>22</v>
      </c>
      <c r="J283" s="981">
        <v>69</v>
      </c>
    </row>
    <row r="284" spans="1:10" x14ac:dyDescent="0.25">
      <c r="A284" s="981" t="s">
        <v>258</v>
      </c>
      <c r="B284" s="981" t="s">
        <v>251</v>
      </c>
      <c r="C284" s="981" t="s">
        <v>301</v>
      </c>
      <c r="D284" s="981" t="s">
        <v>54</v>
      </c>
      <c r="E284" s="981">
        <v>200</v>
      </c>
      <c r="F284" s="981"/>
      <c r="G284" s="981">
        <v>144</v>
      </c>
      <c r="H284" s="981"/>
      <c r="I284" s="981"/>
      <c r="J284" s="981">
        <v>56</v>
      </c>
    </row>
    <row r="285" spans="1:10" x14ac:dyDescent="0.25">
      <c r="A285" s="981" t="s">
        <v>258</v>
      </c>
      <c r="B285" s="981" t="s">
        <v>251</v>
      </c>
      <c r="C285" s="981" t="s">
        <v>302</v>
      </c>
      <c r="D285" s="981" t="s">
        <v>55</v>
      </c>
      <c r="E285" s="981">
        <v>128</v>
      </c>
      <c r="F285" s="981"/>
      <c r="G285" s="981">
        <v>128</v>
      </c>
      <c r="H285" s="981"/>
      <c r="I285" s="981"/>
      <c r="J285" s="981"/>
    </row>
    <row r="286" spans="1:10" x14ac:dyDescent="0.25">
      <c r="A286" s="981" t="s">
        <v>258</v>
      </c>
      <c r="B286" s="981" t="s">
        <v>251</v>
      </c>
      <c r="C286" s="981" t="s">
        <v>303</v>
      </c>
      <c r="D286" s="981" t="s">
        <v>56</v>
      </c>
      <c r="E286" s="981">
        <v>108</v>
      </c>
      <c r="F286" s="981"/>
      <c r="G286" s="981">
        <v>58</v>
      </c>
      <c r="H286" s="981"/>
      <c r="I286" s="981"/>
      <c r="J286" s="981">
        <v>50</v>
      </c>
    </row>
    <row r="287" spans="1:10" x14ac:dyDescent="0.25">
      <c r="A287" s="981" t="s">
        <v>258</v>
      </c>
      <c r="B287" s="981" t="s">
        <v>251</v>
      </c>
      <c r="C287" s="981" t="s">
        <v>304</v>
      </c>
      <c r="D287" s="981" t="s">
        <v>57</v>
      </c>
      <c r="E287" s="981">
        <v>247</v>
      </c>
      <c r="F287" s="981"/>
      <c r="G287" s="981">
        <v>78</v>
      </c>
      <c r="H287" s="981"/>
      <c r="I287" s="981">
        <v>2</v>
      </c>
      <c r="J287" s="981">
        <v>167</v>
      </c>
    </row>
    <row r="288" spans="1:10" x14ac:dyDescent="0.25">
      <c r="A288" s="981" t="s">
        <v>258</v>
      </c>
      <c r="B288" s="981" t="s">
        <v>251</v>
      </c>
      <c r="C288" s="981" t="s">
        <v>305</v>
      </c>
      <c r="D288" s="981" t="s">
        <v>58</v>
      </c>
      <c r="E288" s="981">
        <v>125</v>
      </c>
      <c r="F288" s="981"/>
      <c r="G288" s="981">
        <v>76</v>
      </c>
      <c r="H288" s="981"/>
      <c r="I288" s="981"/>
      <c r="J288" s="981">
        <v>49</v>
      </c>
    </row>
    <row r="289" spans="1:10" x14ac:dyDescent="0.25">
      <c r="A289" s="981" t="s">
        <v>258</v>
      </c>
      <c r="B289" s="981" t="s">
        <v>251</v>
      </c>
      <c r="C289" s="981" t="s">
        <v>306</v>
      </c>
      <c r="D289" s="981" t="s">
        <v>31</v>
      </c>
      <c r="E289" s="981">
        <v>162</v>
      </c>
      <c r="F289" s="981"/>
      <c r="G289" s="981">
        <v>9</v>
      </c>
      <c r="H289" s="981"/>
      <c r="I289" s="981"/>
      <c r="J289" s="981">
        <v>153</v>
      </c>
    </row>
    <row r="290" spans="1:10" x14ac:dyDescent="0.25">
      <c r="A290" s="981" t="s">
        <v>258</v>
      </c>
      <c r="B290" s="981" t="s">
        <v>251</v>
      </c>
      <c r="C290" s="981" t="s">
        <v>307</v>
      </c>
      <c r="D290" s="981" t="s">
        <v>32</v>
      </c>
      <c r="E290" s="981">
        <v>315</v>
      </c>
      <c r="F290" s="981"/>
      <c r="G290" s="981">
        <v>285</v>
      </c>
      <c r="H290" s="981"/>
      <c r="I290" s="981"/>
      <c r="J290" s="981">
        <v>30</v>
      </c>
    </row>
    <row r="291" spans="1:10" x14ac:dyDescent="0.25">
      <c r="A291" s="981" t="s">
        <v>258</v>
      </c>
      <c r="B291" s="981" t="s">
        <v>251</v>
      </c>
      <c r="C291" s="981" t="s">
        <v>308</v>
      </c>
      <c r="D291" s="981" t="s">
        <v>34</v>
      </c>
      <c r="E291" s="981">
        <v>434</v>
      </c>
      <c r="F291" s="981"/>
      <c r="G291" s="981">
        <v>177</v>
      </c>
      <c r="H291" s="981"/>
      <c r="I291" s="981">
        <v>203</v>
      </c>
      <c r="J291" s="981">
        <v>54</v>
      </c>
    </row>
    <row r="292" spans="1:10" x14ac:dyDescent="0.25">
      <c r="A292" s="981" t="s">
        <v>258</v>
      </c>
      <c r="B292" s="981" t="s">
        <v>251</v>
      </c>
      <c r="C292" s="981" t="s">
        <v>309</v>
      </c>
      <c r="D292" s="981" t="s">
        <v>262</v>
      </c>
      <c r="E292" s="981">
        <v>306</v>
      </c>
      <c r="F292" s="981"/>
      <c r="G292" s="981">
        <v>9</v>
      </c>
      <c r="H292" s="981"/>
      <c r="I292" s="981"/>
      <c r="J292" s="981">
        <v>297</v>
      </c>
    </row>
    <row r="293" spans="1:10" x14ac:dyDescent="0.25">
      <c r="A293" s="981" t="s">
        <v>258</v>
      </c>
      <c r="B293" s="981" t="s">
        <v>251</v>
      </c>
      <c r="C293" s="981" t="s">
        <v>310</v>
      </c>
      <c r="D293" s="981" t="s">
        <v>53</v>
      </c>
      <c r="E293" s="981">
        <v>116</v>
      </c>
      <c r="F293" s="981"/>
      <c r="G293" s="981">
        <v>17</v>
      </c>
      <c r="H293" s="981"/>
      <c r="I293" s="981"/>
      <c r="J293" s="981">
        <v>99</v>
      </c>
    </row>
    <row r="294" spans="1:10" x14ac:dyDescent="0.25">
      <c r="A294" s="981" t="s">
        <v>258</v>
      </c>
      <c r="B294" s="981" t="s">
        <v>251</v>
      </c>
      <c r="C294" s="981" t="s">
        <v>311</v>
      </c>
      <c r="D294" s="981" t="s">
        <v>59</v>
      </c>
      <c r="E294" s="981">
        <v>93</v>
      </c>
      <c r="F294" s="981"/>
      <c r="G294" s="981">
        <v>20</v>
      </c>
      <c r="H294" s="981"/>
      <c r="I294" s="981"/>
      <c r="J294" s="981">
        <v>73</v>
      </c>
    </row>
    <row r="295" spans="1:10" x14ac:dyDescent="0.25">
      <c r="A295" s="981" t="s">
        <v>258</v>
      </c>
      <c r="B295" s="981" t="s">
        <v>251</v>
      </c>
      <c r="C295" s="981" t="s">
        <v>312</v>
      </c>
      <c r="D295" s="981" t="s">
        <v>60</v>
      </c>
      <c r="E295" s="981">
        <v>115</v>
      </c>
      <c r="F295" s="981"/>
      <c r="G295" s="981">
        <v>59</v>
      </c>
      <c r="H295" s="981"/>
      <c r="I295" s="981"/>
      <c r="J295" s="981">
        <v>56</v>
      </c>
    </row>
    <row r="296" spans="1:10" x14ac:dyDescent="0.25">
      <c r="A296" s="981" t="s">
        <v>258</v>
      </c>
      <c r="B296" s="981" t="s">
        <v>251</v>
      </c>
      <c r="C296" s="981" t="s">
        <v>313</v>
      </c>
      <c r="D296" s="981" t="s">
        <v>33</v>
      </c>
      <c r="E296" s="981">
        <v>126</v>
      </c>
      <c r="F296" s="981"/>
      <c r="G296" s="981">
        <v>98</v>
      </c>
      <c r="H296" s="981"/>
      <c r="I296" s="981"/>
      <c r="J296" s="981">
        <v>28</v>
      </c>
    </row>
    <row r="297" spans="1:10" x14ac:dyDescent="0.25">
      <c r="A297" s="981" t="s">
        <v>258</v>
      </c>
      <c r="B297" s="981" t="s">
        <v>251</v>
      </c>
      <c r="C297" s="981" t="s">
        <v>314</v>
      </c>
      <c r="D297" s="981" t="s">
        <v>37</v>
      </c>
      <c r="E297" s="981">
        <v>189</v>
      </c>
      <c r="F297" s="981"/>
      <c r="G297" s="981">
        <v>12</v>
      </c>
      <c r="H297" s="981"/>
      <c r="I297" s="981"/>
      <c r="J297" s="981">
        <v>177</v>
      </c>
    </row>
    <row r="298" spans="1:10" x14ac:dyDescent="0.25">
      <c r="A298" s="981" t="s">
        <v>258</v>
      </c>
      <c r="B298" s="981" t="s">
        <v>251</v>
      </c>
      <c r="C298" s="981" t="s">
        <v>315</v>
      </c>
      <c r="D298" s="981" t="s">
        <v>50</v>
      </c>
      <c r="E298" s="981">
        <v>201</v>
      </c>
      <c r="F298" s="981"/>
      <c r="G298" s="981">
        <v>35</v>
      </c>
      <c r="H298" s="981"/>
      <c r="I298" s="981"/>
      <c r="J298" s="981">
        <v>166</v>
      </c>
    </row>
    <row r="299" spans="1:10" x14ac:dyDescent="0.25">
      <c r="A299" s="981" t="s">
        <v>258</v>
      </c>
      <c r="B299" s="981" t="s">
        <v>251</v>
      </c>
      <c r="C299" s="981" t="s">
        <v>316</v>
      </c>
      <c r="D299" s="981" t="s">
        <v>39</v>
      </c>
      <c r="E299" s="981">
        <v>78</v>
      </c>
      <c r="F299" s="981"/>
      <c r="G299" s="981"/>
      <c r="H299" s="981"/>
      <c r="I299" s="981"/>
      <c r="J299" s="981">
        <v>78</v>
      </c>
    </row>
    <row r="300" spans="1:10" x14ac:dyDescent="0.25">
      <c r="A300" s="981" t="s">
        <v>258</v>
      </c>
      <c r="B300" s="981" t="s">
        <v>251</v>
      </c>
      <c r="C300" s="981" t="s">
        <v>317</v>
      </c>
      <c r="D300" s="981" t="s">
        <v>124</v>
      </c>
      <c r="E300" s="981">
        <v>515</v>
      </c>
      <c r="F300" s="981"/>
      <c r="G300" s="981"/>
      <c r="H300" s="981"/>
      <c r="I300" s="981"/>
      <c r="J300" s="981">
        <v>515</v>
      </c>
    </row>
    <row r="301" spans="1:10" x14ac:dyDescent="0.25">
      <c r="A301" s="981" t="s">
        <v>258</v>
      </c>
      <c r="B301" s="981" t="s">
        <v>251</v>
      </c>
      <c r="C301" s="981" t="s">
        <v>318</v>
      </c>
      <c r="D301" s="981" t="s">
        <v>43</v>
      </c>
      <c r="E301" s="981">
        <v>391</v>
      </c>
      <c r="F301" s="981"/>
      <c r="G301" s="981">
        <v>117</v>
      </c>
      <c r="H301" s="981"/>
      <c r="I301" s="981"/>
      <c r="J301" s="981">
        <v>274</v>
      </c>
    </row>
    <row r="302" spans="1:10" x14ac:dyDescent="0.25">
      <c r="A302" s="981" t="s">
        <v>258</v>
      </c>
      <c r="B302" s="981" t="s">
        <v>252</v>
      </c>
      <c r="C302" s="981"/>
      <c r="D302" s="981" t="s">
        <v>834</v>
      </c>
      <c r="E302" s="981">
        <v>2</v>
      </c>
      <c r="F302" s="981"/>
      <c r="G302" s="981"/>
      <c r="H302" s="981"/>
      <c r="I302" s="981"/>
      <c r="J302" s="981">
        <v>2</v>
      </c>
    </row>
    <row r="303" spans="1:10" x14ac:dyDescent="0.25">
      <c r="A303" s="981" t="s">
        <v>258</v>
      </c>
      <c r="B303" s="981" t="s">
        <v>252</v>
      </c>
      <c r="C303" s="981" t="s">
        <v>374</v>
      </c>
      <c r="D303" s="981" t="s">
        <v>31</v>
      </c>
      <c r="E303" s="981">
        <v>17</v>
      </c>
      <c r="F303" s="981"/>
      <c r="G303" s="981"/>
      <c r="H303" s="981"/>
      <c r="I303" s="981"/>
      <c r="J303" s="981">
        <v>17</v>
      </c>
    </row>
    <row r="304" spans="1:10" x14ac:dyDescent="0.25">
      <c r="A304" s="981" t="s">
        <v>258</v>
      </c>
      <c r="B304" s="981" t="s">
        <v>252</v>
      </c>
      <c r="C304" s="981" t="s">
        <v>375</v>
      </c>
      <c r="D304" s="981" t="s">
        <v>64</v>
      </c>
      <c r="E304" s="981">
        <v>25</v>
      </c>
      <c r="F304" s="981"/>
      <c r="G304" s="981"/>
      <c r="H304" s="981"/>
      <c r="I304" s="981"/>
      <c r="J304" s="981">
        <v>25</v>
      </c>
    </row>
    <row r="305" spans="1:10" x14ac:dyDescent="0.25">
      <c r="A305" s="981" t="s">
        <v>258</v>
      </c>
      <c r="B305" s="981" t="s">
        <v>252</v>
      </c>
      <c r="C305" s="981" t="s">
        <v>377</v>
      </c>
      <c r="D305" s="981" t="s">
        <v>65</v>
      </c>
      <c r="E305" s="981">
        <v>26</v>
      </c>
      <c r="F305" s="981"/>
      <c r="G305" s="981"/>
      <c r="H305" s="981"/>
      <c r="I305" s="981"/>
      <c r="J305" s="981">
        <v>26</v>
      </c>
    </row>
    <row r="306" spans="1:10" x14ac:dyDescent="0.25">
      <c r="A306" s="981" t="s">
        <v>258</v>
      </c>
      <c r="B306" s="981" t="s">
        <v>252</v>
      </c>
      <c r="C306" s="981" t="s">
        <v>378</v>
      </c>
      <c r="D306" s="981" t="s">
        <v>36</v>
      </c>
      <c r="E306" s="981">
        <v>22</v>
      </c>
      <c r="F306" s="981"/>
      <c r="G306" s="981"/>
      <c r="H306" s="981"/>
      <c r="I306" s="981"/>
      <c r="J306" s="981">
        <v>22</v>
      </c>
    </row>
    <row r="307" spans="1:10" x14ac:dyDescent="0.25">
      <c r="A307" s="981" t="s">
        <v>258</v>
      </c>
      <c r="B307" s="981" t="s">
        <v>252</v>
      </c>
      <c r="C307" s="981" t="s">
        <v>379</v>
      </c>
      <c r="D307" s="981" t="s">
        <v>68</v>
      </c>
      <c r="E307" s="981">
        <v>25</v>
      </c>
      <c r="F307" s="981"/>
      <c r="G307" s="981"/>
      <c r="H307" s="981"/>
      <c r="I307" s="981"/>
      <c r="J307" s="981">
        <v>25</v>
      </c>
    </row>
    <row r="308" spans="1:10" x14ac:dyDescent="0.25">
      <c r="A308" s="981" t="s">
        <v>258</v>
      </c>
      <c r="B308" s="981" t="s">
        <v>252</v>
      </c>
      <c r="C308" s="981" t="s">
        <v>380</v>
      </c>
      <c r="D308" s="981" t="s">
        <v>69</v>
      </c>
      <c r="E308" s="981">
        <v>25</v>
      </c>
      <c r="F308" s="981"/>
      <c r="G308" s="981"/>
      <c r="H308" s="981"/>
      <c r="I308" s="981"/>
      <c r="J308" s="981">
        <v>25</v>
      </c>
    </row>
    <row r="309" spans="1:10" x14ac:dyDescent="0.25">
      <c r="A309" s="981" t="s">
        <v>258</v>
      </c>
      <c r="B309" s="981" t="s">
        <v>252</v>
      </c>
      <c r="C309" s="981" t="s">
        <v>381</v>
      </c>
      <c r="D309" s="981" t="s">
        <v>70</v>
      </c>
      <c r="E309" s="981">
        <v>14</v>
      </c>
      <c r="F309" s="981"/>
      <c r="G309" s="981"/>
      <c r="H309" s="981"/>
      <c r="I309" s="981"/>
      <c r="J309" s="981">
        <v>14</v>
      </c>
    </row>
    <row r="310" spans="1:10" x14ac:dyDescent="0.25">
      <c r="A310" s="981" t="s">
        <v>258</v>
      </c>
      <c r="B310" s="981" t="s">
        <v>252</v>
      </c>
      <c r="C310" s="981" t="s">
        <v>382</v>
      </c>
      <c r="D310" s="981" t="s">
        <v>178</v>
      </c>
      <c r="E310" s="981">
        <v>30</v>
      </c>
      <c r="F310" s="981"/>
      <c r="G310" s="981"/>
      <c r="H310" s="981"/>
      <c r="I310" s="981"/>
      <c r="J310" s="981">
        <v>30</v>
      </c>
    </row>
    <row r="311" spans="1:10" x14ac:dyDescent="0.25">
      <c r="A311" s="981" t="s">
        <v>258</v>
      </c>
      <c r="B311" s="981" t="s">
        <v>252</v>
      </c>
      <c r="C311" s="981" t="s">
        <v>383</v>
      </c>
      <c r="D311" s="981" t="s">
        <v>71</v>
      </c>
      <c r="E311" s="981">
        <v>20</v>
      </c>
      <c r="F311" s="981"/>
      <c r="G311" s="981"/>
      <c r="H311" s="981"/>
      <c r="I311" s="981"/>
      <c r="J311" s="981">
        <v>20</v>
      </c>
    </row>
    <row r="312" spans="1:10" x14ac:dyDescent="0.25">
      <c r="A312" s="981" t="s">
        <v>258</v>
      </c>
      <c r="B312" s="981" t="s">
        <v>252</v>
      </c>
      <c r="C312" s="981" t="s">
        <v>385</v>
      </c>
      <c r="D312" s="981" t="s">
        <v>124</v>
      </c>
      <c r="E312" s="981">
        <v>25</v>
      </c>
      <c r="F312" s="981"/>
      <c r="G312" s="981"/>
      <c r="H312" s="981"/>
      <c r="I312" s="981"/>
      <c r="J312" s="981">
        <v>25</v>
      </c>
    </row>
    <row r="313" spans="1:10" x14ac:dyDescent="0.25">
      <c r="A313" s="981" t="s">
        <v>258</v>
      </c>
      <c r="B313" s="981" t="s">
        <v>252</v>
      </c>
      <c r="C313" s="981" t="s">
        <v>386</v>
      </c>
      <c r="D313" s="981" t="s">
        <v>72</v>
      </c>
      <c r="E313" s="981">
        <v>43</v>
      </c>
      <c r="F313" s="981"/>
      <c r="G313" s="981"/>
      <c r="H313" s="981"/>
      <c r="I313" s="981"/>
      <c r="J313" s="981">
        <v>43</v>
      </c>
    </row>
    <row r="314" spans="1:10" x14ac:dyDescent="0.25">
      <c r="A314" s="981" t="s">
        <v>258</v>
      </c>
      <c r="B314" s="981" t="s">
        <v>252</v>
      </c>
      <c r="C314" s="981" t="s">
        <v>387</v>
      </c>
      <c r="D314" s="981" t="s">
        <v>50</v>
      </c>
      <c r="E314" s="981">
        <v>17</v>
      </c>
      <c r="F314" s="981"/>
      <c r="G314" s="981"/>
      <c r="H314" s="981"/>
      <c r="I314" s="981"/>
      <c r="J314" s="981">
        <v>17</v>
      </c>
    </row>
    <row r="315" spans="1:10" x14ac:dyDescent="0.25">
      <c r="A315" s="981" t="s">
        <v>258</v>
      </c>
      <c r="B315" s="981" t="s">
        <v>252</v>
      </c>
      <c r="C315" s="981" t="s">
        <v>388</v>
      </c>
      <c r="D315" s="981" t="s">
        <v>57</v>
      </c>
      <c r="E315" s="981">
        <v>16</v>
      </c>
      <c r="F315" s="981"/>
      <c r="G315" s="981"/>
      <c r="H315" s="981"/>
      <c r="I315" s="981"/>
      <c r="J315" s="981">
        <v>16</v>
      </c>
    </row>
    <row r="316" spans="1:10" x14ac:dyDescent="0.25">
      <c r="A316" s="981" t="s">
        <v>258</v>
      </c>
      <c r="B316" s="981" t="s">
        <v>252</v>
      </c>
      <c r="C316" s="981" t="s">
        <v>389</v>
      </c>
      <c r="D316" s="981" t="s">
        <v>73</v>
      </c>
      <c r="E316" s="981">
        <v>18</v>
      </c>
      <c r="F316" s="981"/>
      <c r="G316" s="981"/>
      <c r="H316" s="981"/>
      <c r="I316" s="981"/>
      <c r="J316" s="981">
        <v>18</v>
      </c>
    </row>
    <row r="317" spans="1:10" x14ac:dyDescent="0.25">
      <c r="A317" s="981" t="s">
        <v>258</v>
      </c>
      <c r="B317" s="981" t="s">
        <v>252</v>
      </c>
      <c r="C317" s="981" t="s">
        <v>390</v>
      </c>
      <c r="D317" s="981" t="s">
        <v>74</v>
      </c>
      <c r="E317" s="981">
        <v>16</v>
      </c>
      <c r="F317" s="981"/>
      <c r="G317" s="981"/>
      <c r="H317" s="981"/>
      <c r="I317" s="981"/>
      <c r="J317" s="981">
        <v>16</v>
      </c>
    </row>
    <row r="318" spans="1:10" x14ac:dyDescent="0.25">
      <c r="A318" s="981" t="s">
        <v>258</v>
      </c>
      <c r="B318" s="981" t="s">
        <v>252</v>
      </c>
      <c r="C318" s="981" t="s">
        <v>376</v>
      </c>
      <c r="D318" s="981" t="s">
        <v>67</v>
      </c>
      <c r="E318" s="981">
        <v>29</v>
      </c>
      <c r="F318" s="981"/>
      <c r="G318" s="981"/>
      <c r="H318" s="981"/>
      <c r="I318" s="981"/>
      <c r="J318" s="981">
        <v>29</v>
      </c>
    </row>
    <row r="319" spans="1:10" x14ac:dyDescent="0.25">
      <c r="A319" s="981" t="s">
        <v>258</v>
      </c>
      <c r="B319" s="981" t="s">
        <v>252</v>
      </c>
      <c r="C319" s="981" t="s">
        <v>384</v>
      </c>
      <c r="D319" s="981" t="s">
        <v>43</v>
      </c>
      <c r="E319" s="981">
        <v>18</v>
      </c>
      <c r="F319" s="981"/>
      <c r="G319" s="981"/>
      <c r="H319" s="981"/>
      <c r="I319" s="981"/>
      <c r="J319" s="981">
        <v>18</v>
      </c>
    </row>
    <row r="320" spans="1:10" x14ac:dyDescent="0.25">
      <c r="A320" s="981" t="s">
        <v>258</v>
      </c>
      <c r="B320" s="981" t="s">
        <v>253</v>
      </c>
      <c r="C320" s="981" t="s">
        <v>412</v>
      </c>
      <c r="D320" s="981" t="s">
        <v>176</v>
      </c>
      <c r="E320" s="981">
        <v>325</v>
      </c>
      <c r="F320" s="981"/>
      <c r="G320" s="981"/>
      <c r="H320" s="981">
        <v>246</v>
      </c>
      <c r="I320" s="981"/>
      <c r="J320" s="981">
        <v>79</v>
      </c>
    </row>
    <row r="321" spans="1:10" x14ac:dyDescent="0.25">
      <c r="A321" s="981" t="s">
        <v>258</v>
      </c>
      <c r="B321" s="981" t="s">
        <v>253</v>
      </c>
      <c r="C321" s="981" t="s">
        <v>411</v>
      </c>
      <c r="D321" s="981" t="s">
        <v>177</v>
      </c>
      <c r="E321" s="981">
        <v>139</v>
      </c>
      <c r="F321" s="981"/>
      <c r="G321" s="981"/>
      <c r="H321" s="981">
        <v>102</v>
      </c>
      <c r="I321" s="981"/>
      <c r="J321" s="981">
        <v>37</v>
      </c>
    </row>
    <row r="322" spans="1:10" x14ac:dyDescent="0.25">
      <c r="A322" s="981" t="s">
        <v>258</v>
      </c>
      <c r="B322" s="981" t="s">
        <v>253</v>
      </c>
      <c r="C322" s="981" t="s">
        <v>413</v>
      </c>
      <c r="D322" s="981" t="s">
        <v>175</v>
      </c>
      <c r="E322" s="981">
        <v>171</v>
      </c>
      <c r="F322" s="981"/>
      <c r="G322" s="981"/>
      <c r="H322" s="981">
        <v>141</v>
      </c>
      <c r="I322" s="981"/>
      <c r="J322" s="981">
        <v>30</v>
      </c>
    </row>
    <row r="323" spans="1:10" x14ac:dyDescent="0.25">
      <c r="A323" s="981" t="s">
        <v>258</v>
      </c>
      <c r="B323" s="981" t="s">
        <v>254</v>
      </c>
      <c r="C323" s="981" t="s">
        <v>391</v>
      </c>
      <c r="D323" s="981" t="s">
        <v>263</v>
      </c>
      <c r="E323" s="981">
        <v>659</v>
      </c>
      <c r="F323" s="981">
        <v>207</v>
      </c>
      <c r="G323" s="981"/>
      <c r="H323" s="981">
        <v>303</v>
      </c>
      <c r="I323" s="981"/>
      <c r="J323" s="981">
        <v>149</v>
      </c>
    </row>
  </sheetData>
  <mergeCells count="1">
    <mergeCell ref="A2:B2"/>
  </mergeCells>
  <pageMargins left="0.7" right="0.7" top="0.75" bottom="0.75" header="0.3" footer="0.3"/>
  <pageSetup paperSize="9" fitToHeight="5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ation" ma:contentTypeID="0x0101004D3BEEE8C71E0441ABCD602B2883CF2303002F0AEBBF2B74A8408CFDD78D345B4A87" ma:contentTypeVersion="40" ma:contentTypeDescription="" ma:contentTypeScope="" ma:versionID="c6e4704b09f64b7ce45b4f8301f5c7b6">
  <xsd:schema xmlns:xsd="http://www.w3.org/2001/XMLSchema" xmlns:xs="http://www.w3.org/2001/XMLSchema" xmlns:p="http://schemas.microsoft.com/office/2006/metadata/properties" xmlns:ns1="361c438b-452b-4051-9cda-3a6b8527f04f" xmlns:ns3="858ae7c7-9454-45c7-a50c-4c9144226ea3" targetNamespace="http://schemas.microsoft.com/office/2006/metadata/properties" ma:root="true" ma:fieldsID="5081fa8bb0d0f42b20b415282392dcec" ns1:_="" ns3:_="">
    <xsd:import namespace="361c438b-452b-4051-9cda-3a6b8527f04f"/>
    <xsd:import namespace="858ae7c7-9454-45c7-a50c-4c9144226ea3"/>
    <xsd:element name="properties">
      <xsd:complexType>
        <xsd:sequence>
          <xsd:element name="documentManagement">
            <xsd:complexType>
              <xsd:all>
                <xsd:element ref="ns1:Doc_x0020_Type" minOccurs="0"/>
                <xsd:element ref="ns1:_dlc_DocIdUrl" minOccurs="0"/>
                <xsd:element ref="ns1:Summary" minOccurs="0"/>
                <xsd:element ref="ns1:Document_x0020_Status" minOccurs="0"/>
                <xsd:element ref="ns1:Security_x0020_Classification" minOccurs="0"/>
                <xsd:element ref="ns1:Abbreviation_x0028_s_x0029_" minOccurs="0"/>
                <xsd:element ref="ns1:Version_x0020_Number" minOccurs="0"/>
                <xsd:element ref="ns1:Effective_x0020_Date" minOccurs="0"/>
                <xsd:element ref="ns1:Review_x0020_Period" minOccurs="0"/>
                <xsd:element ref="ns3:ProperReviewDate" minOccurs="0"/>
                <xsd:element ref="ns1:Intranet_x0020_content" minOccurs="0"/>
                <xsd:element ref="ns1:Related_x0020_Intranet_x0020_page" minOccurs="0"/>
                <xsd:element ref="ns1:Published_x0020_to_x0020_website" minOccurs="0"/>
                <xsd:element ref="ns1:Publication_x0020_Scheme_x0020_Class" minOccurs="0"/>
                <xsd:element ref="ns1:Sub_x0020_Class_x0020_Heading" minOccurs="0"/>
                <xsd:element ref="ns1:Related_x0020_PDF" minOccurs="0"/>
                <xsd:element ref="ns1:DocumentReadyForApproval" minOccurs="0"/>
                <xsd:element ref="ns1:Delete" minOccurs="0"/>
                <xsd:element ref="ns1:External" minOccurs="0"/>
                <xsd:element ref="ns1:_dlc_DocId" minOccurs="0"/>
                <xsd:element ref="ns1:_dlc_DocIdPersistId" minOccurs="0"/>
                <xsd:element ref="ns1:TaxKeywordTaxHTField" minOccurs="0"/>
                <xsd:element ref="ns1:TaxCatchAll" minOccurs="0"/>
                <xsd:element ref="ns3:lcf76f155ced4ddcb4097134ff3c332f" minOccurs="0"/>
                <xsd:element ref="ns1:TaxCatchAllLabel" minOccurs="0"/>
                <xsd:element ref="ns3:MediaServiceSearchProperties" minOccurs="0"/>
                <xsd:element ref="ns3:xPDF" minOccurs="0"/>
                <xsd:element ref="ns1:SharedWithUsers" minOccurs="0"/>
                <xsd:element ref="ns1:SharedWithDetails" minOccurs="0"/>
                <xsd:element ref="ns1:Approver" minOccurs="0"/>
                <xsd:element ref="ns1:k383230df22e4c6daee9d7a3c1495057" minOccurs="0"/>
                <xsd:element ref="ns3:RelatedWebsitePage" minOccurs="0"/>
                <xsd:element ref="ns3:InitialPublishDate" minOccurs="0"/>
                <xsd:element ref="ns3:ActivePublish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1c438b-452b-4051-9cda-3a6b8527f04f" elementFormDefault="qualified">
    <xsd:import namespace="http://schemas.microsoft.com/office/2006/documentManagement/types"/>
    <xsd:import namespace="http://schemas.microsoft.com/office/infopath/2007/PartnerControls"/>
    <xsd:element name="Doc_x0020_Type" ma:index="0" nillable="true" ma:displayName="Doc Type" ma:format="Dropdown" ma:indexed="true" ma:internalName="Doc_x0020_Type">
      <xsd:simpleType>
        <xsd:restriction base="dms:Choice">
          <xsd:enumeration value="Awareness Briefing (AB)"/>
          <xsd:enumeration value="Board Paper"/>
          <xsd:enumeration value="Campaign Material"/>
          <xsd:enumeration value="Consultation"/>
          <xsd:enumeration value="Control Operating Procedure (COP)"/>
          <xsd:enumeration value="Equality and Human Rights Impact Assessment (EHRIA)"/>
          <xsd:enumeration value="Equipment Information Card (EIC)"/>
          <xsd:enumeration value="Executive Meeting"/>
          <xsd:enumeration value="Form"/>
          <xsd:enumeration value="Framework"/>
          <xsd:enumeration value="Frequently Asked Questions (FAQs)"/>
          <xsd:enumeration value="Frontline Update (FU)"/>
          <xsd:enumeration value="General Information Note (GIN)"/>
          <xsd:enumeration value="Generic Risk Assessment (GRA)"/>
          <xsd:enumeration value="Guidance"/>
          <xsd:enumeration value="Leaflet / Poster"/>
          <xsd:enumeration value="Magazine / Newsletter"/>
          <xsd:enumeration value="Management Arrangement (MA)"/>
          <xsd:enumeration value="Memorandum of Understanding (MOU)"/>
          <xsd:enumeration value="National Training Standard (NTS)"/>
          <xsd:enumeration value="Operational Aide Memoire (OAM)"/>
          <xsd:enumeration value="Periodic Inspection and Testing Sheet (PIT)"/>
          <xsd:enumeration value="Plan"/>
          <xsd:enumeration value="Policy"/>
          <xsd:enumeration value="Policy and Operational Guidance (POG)"/>
          <xsd:enumeration value="Presentation"/>
          <xsd:enumeration value="Privacy Notice"/>
          <xsd:enumeration value="Procedure"/>
          <xsd:enumeration value="Report"/>
          <xsd:enumeration value="Risk Assessment"/>
          <xsd:enumeration value="Risk Information Card"/>
          <xsd:enumeration value="Risk Register"/>
          <xsd:enumeration value="Safe System of Work (SSOW)"/>
          <xsd:enumeration value="Standard Operating Procedure (SOP)"/>
          <xsd:enumeration value="Strategy"/>
          <xsd:enumeration value="Structure"/>
          <xsd:enumeration value="Task Card"/>
          <xsd:enumeration value="Technical Information Note (TIN)"/>
          <xsd:enumeration value="Template"/>
          <xsd:enumeration value="Terms of Reference (ToR)"/>
          <xsd:enumeration value="Toolkit"/>
          <xsd:enumeration value="Urgent Instruction (UI)"/>
        </xsd:restriction>
      </xsd:simpleType>
    </xsd:element>
    <xsd:element name="_dlc_DocIdUrl" ma:index="1"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Summary" ma:index="4" nillable="true" ma:displayName="Summary" ma:internalName="Summary" ma:readOnly="false">
      <xsd:simpleType>
        <xsd:restriction base="dms:Note">
          <xsd:maxLength value="255"/>
        </xsd:restriction>
      </xsd:simpleType>
    </xsd:element>
    <xsd:element name="Document_x0020_Status" ma:index="6" nillable="true" ma:displayName="Document Status" ma:default="Unpublished" ma:format="Dropdown" ma:indexed="true" ma:internalName="Document_x0020_Status" ma:readOnly="false">
      <xsd:simpleType>
        <xsd:restriction base="dms:Choice">
          <xsd:enumeration value="Unpublished"/>
          <xsd:enumeration value="Out for quality check"/>
          <xsd:enumeration value="Out for approval"/>
          <xsd:enumeration value="Out for familiarization"/>
          <xsd:enumeration value="Ready for publication"/>
          <xsd:enumeration value="Live"/>
        </xsd:restriction>
      </xsd:simpleType>
    </xsd:element>
    <xsd:element name="Security_x0020_Classification" ma:index="7" nillable="true" ma:displayName="Security Classification" ma:default="Official" ma:format="Dropdown" ma:internalName="Security_x0020_Classification" ma:readOnly="false">
      <xsd:simpleType>
        <xsd:restriction base="dms:Choice">
          <xsd:enumeration value="Official"/>
          <xsd:enumeration value="Official Internal"/>
        </xsd:restriction>
      </xsd:simpleType>
    </xsd:element>
    <xsd:element name="Abbreviation_x0028_s_x0029_" ma:index="8" nillable="true" ma:displayName="Abbreviation(s)" ma:list="{cb5a0069-96fc-49cd-a8ec-b11d3665ab89}" ma:internalName="Abbreviation_x0028_s_x0029_" ma:readOnly="false" ma:showField="Full_x0020_Title"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Version_x0020_Number" ma:index="10" nillable="true" ma:displayName="Version Number" ma:decimals="2" ma:indexed="true" ma:internalName="Version_x0020_Number" ma:readOnly="false" ma:percentage="FALSE">
      <xsd:simpleType>
        <xsd:restriction base="dms:Number"/>
      </xsd:simpleType>
    </xsd:element>
    <xsd:element name="Effective_x0020_Date" ma:index="11" nillable="true" ma:displayName="Effective Date" ma:format="DateOnly" ma:indexed="true" ma:internalName="Effective_x0020_Date">
      <xsd:simpleType>
        <xsd:restriction base="dms:DateTime"/>
      </xsd:simpleType>
    </xsd:element>
    <xsd:element name="Review_x0020_Period" ma:index="12" nillable="true" ma:displayName="Review Period" ma:default="3 years" ma:format="Dropdown" ma:internalName="Review_x0020_Period" ma:readOnly="false">
      <xsd:simpleType>
        <xsd:restriction base="dms:Choice">
          <xsd:enumeration value="3 months"/>
          <xsd:enumeration value="6 months"/>
          <xsd:enumeration value="1 year"/>
          <xsd:enumeration value="3 years"/>
          <xsd:enumeration value="5 years"/>
        </xsd:restriction>
      </xsd:simpleType>
    </xsd:element>
    <xsd:element name="Intranet_x0020_content" ma:index="15" nillable="true" ma:displayName="Intranet content" ma:default="0" ma:indexed="true" ma:internalName="Intranet_x0020_content">
      <xsd:simpleType>
        <xsd:restriction base="dms:Boolean"/>
      </xsd:simpleType>
    </xsd:element>
    <xsd:element name="Related_x0020_Intranet_x0020_page" ma:index="16" nillable="true" ma:displayName="Related Intranet page" ma:format="Hyperlink" ma:internalName="Related_x0020_Intranet_x0020_p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Published_x0020_to_x0020_website" ma:index="17" nillable="true" ma:displayName="Published to website" ma:default="0" ma:internalName="Published_x0020_to_x0020_website" ma:readOnly="false">
      <xsd:simpleType>
        <xsd:restriction base="dms:Boolean"/>
      </xsd:simpleType>
    </xsd:element>
    <xsd:element name="Publication_x0020_Scheme_x0020_Class" ma:index="18" nillable="true" ma:displayName="Publication Scheme Class" ma:format="Dropdown" ma:internalName="Publication_x0020_Scheme_x0020_Class" ma:readOnly="false">
      <xsd:simpleType>
        <xsd:restriction base="dms:Choice">
          <xsd:enumeration value="About SFRS"/>
          <xsd:enumeration value="How we are performing"/>
          <xsd:enumeration value="How we deliver our functions and services"/>
          <xsd:enumeration value="How we manage our human, physical and information resources"/>
          <xsd:enumeration value="How we procure goods and services from external providers"/>
          <xsd:enumeration value="How we take decisions and what we have decided"/>
          <xsd:enumeration value="What we spend and how we spend it"/>
          <xsd:enumeration value="Our commercial publications"/>
          <xsd:enumeration value="Our open data"/>
        </xsd:restriction>
      </xsd:simpleType>
    </xsd:element>
    <xsd:element name="Sub_x0020_Class_x0020_Heading" ma:index="19" nillable="true" ma:displayName="Sub Class Heading" ma:format="Dropdown" ma:internalName="Sub_x0020_Class_x0020_Heading" ma:readOnly="false">
      <xsd:simpleType>
        <xsd:restriction base="dms:Choice">
          <xsd:enumeration value="External relations/Working with others"/>
          <xsd:enumeration value="Functions"/>
          <xsd:enumeration value="General Information about SFRS"/>
          <xsd:enumeration value="Governance and Accountability/ Corporate planning"/>
          <xsd:enumeration value="How we are run"/>
          <xsd:enumeration value="Human resources"/>
          <xsd:enumeration value="Information resources"/>
          <xsd:enumeration value="Physical resources"/>
          <xsd:enumeration value="Services"/>
        </xsd:restriction>
      </xsd:simpleType>
    </xsd:element>
    <xsd:element name="Related_x0020_PDF" ma:index="21" nillable="true" ma:displayName="Related PDF" ma:format="Hyperlink" ma:internalName="Related_x0020_PDF"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DocumentReadyForApproval" ma:index="23" nillable="true" ma:displayName="Document ready to progress" ma:default="0" ma:indexed="true" ma:internalName="DocumentReadyForApproval" ma:readOnly="false">
      <xsd:simpleType>
        <xsd:restriction base="dms:Boolean"/>
      </xsd:simpleType>
    </xsd:element>
    <xsd:element name="Delete" ma:index="24" nillable="true" ma:displayName="Withdraw" ma:default="0" ma:internalName="Delete" ma:readOnly="false">
      <xsd:simpleType>
        <xsd:restriction base="dms:Boolean"/>
      </xsd:simpleType>
    </xsd:element>
    <xsd:element name="External" ma:index="25" nillable="true" ma:displayName="External" ma:default="0" ma:hidden="true" ma:indexed="true" ma:internalName="External" ma:readOnly="false">
      <xsd:simpleType>
        <xsd:restriction base="dms:Boolean"/>
      </xsd:simpleType>
    </xsd:element>
    <xsd:element name="_dlc_DocId" ma:index="26" nillable="true" ma:displayName="Document ID Value" ma:description="The value of the document ID assigned to this item." ma:hidden="true" ma:indexed="true" ma:internalName="_dlc_DocId" ma:readOnly="false">
      <xsd:simpleType>
        <xsd:restriction base="dms:Text"/>
      </xsd:simpleType>
    </xsd:element>
    <xsd:element name="_dlc_DocIdPersistId" ma:index="27" nillable="true" ma:displayName="Persist ID" ma:description="Keep ID on add." ma:hidden="true" ma:internalName="_dlc_DocIdPersistId" ma:readOnly="false">
      <xsd:simpleType>
        <xsd:restriction base="dms:Boolean"/>
      </xsd:simpleType>
    </xsd:element>
    <xsd:element name="TaxKeywordTaxHTField" ma:index="28" nillable="true" ma:taxonomy="true" ma:internalName="TaxKeywordTaxHTField" ma:taxonomyFieldName="TaxKeyword" ma:displayName="Enterprise Keywords" ma:readOnly="false" ma:fieldId="{23f27201-bee3-471e-b2e7-b64fd8b7ca38}" ma:taxonomyMulti="true" ma:sspId="b512196b-5a0a-432a-bb17-e1b4922fa624" ma:termSetId="00000000-0000-0000-0000-000000000000" ma:anchorId="00000000-0000-0000-0000-000000000000" ma:open="true" ma:isKeyword="true">
      <xsd:complexType>
        <xsd:sequence>
          <xsd:element ref="pc:Terms" minOccurs="0" maxOccurs="1"/>
        </xsd:sequence>
      </xsd:complexType>
    </xsd:element>
    <xsd:element name="TaxCatchAll" ma:index="29" nillable="true" ma:displayName="Taxonomy Catch All Column" ma:hidden="true" ma:list="{27df03d8-9a97-46e6-9e9c-10932c826c7e}" ma:internalName="TaxCatchAll" ma:readOnly="false" ma:showField="CatchAllData"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TaxCatchAllLabel" ma:index="31" nillable="true" ma:displayName="Taxonomy Catch All Column1" ma:hidden="true" ma:list="{27df03d8-9a97-46e6-9e9c-10932c826c7e}" ma:internalName="TaxCatchAllLabel" ma:readOnly="false" ma:showField="CatchAllDataLabel"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SharedWithUsers" ma:index="40"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1" nillable="true" ma:displayName="Shared With Details" ma:hidden="true" ma:internalName="SharedWithDetails" ma:readOnly="true">
      <xsd:simpleType>
        <xsd:restriction base="dms:Note"/>
      </xsd:simpleType>
    </xsd:element>
    <xsd:element name="Approver" ma:index="42" nillable="true" ma:displayName="Approver" ma:hidden="true" ma:list="UserInfo" ma:SharePointGroup="0" ma:internalName="Approv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383230df22e4c6daee9d7a3c1495057" ma:index="44" nillable="true" ma:taxonomy="true" ma:internalName="k383230df22e4c6daee9d7a3c1495057" ma:taxonomyFieldName="Directorate" ma:displayName="Directorate" ma:readOnly="false" ma:default="" ma:fieldId="{4383230d-f22e-4c6d-aee9-d7a3c1495057}" ma:taxonomyMulti="true" ma:sspId="b512196b-5a0a-432a-bb17-e1b4922fa624" ma:termSetId="118f2308-ed62-41c1-a4cd-b6e6f40956a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58ae7c7-9454-45c7-a50c-4c9144226ea3" elementFormDefault="qualified">
    <xsd:import namespace="http://schemas.microsoft.com/office/2006/documentManagement/types"/>
    <xsd:import namespace="http://schemas.microsoft.com/office/infopath/2007/PartnerControls"/>
    <xsd:element name="ProperReviewDate" ma:index="14" nillable="true" ma:displayName="Proper Review Date" ma:format="DateOnly" ma:indexed="true" ma:internalName="ProperReviewDate" ma:readOnly="false">
      <xsd:simpleType>
        <xsd:restriction base="dms:DateTime"/>
      </xsd:simpleType>
    </xsd:element>
    <xsd:element name="lcf76f155ced4ddcb4097134ff3c332f" ma:index="30" nillable="true" ma:displayName="Image Tags_0" ma:hidden="true" ma:internalName="lcf76f155ced4ddcb4097134ff3c332f" ma:readOnly="false">
      <xsd:simpleType>
        <xsd:restriction base="dms:Note"/>
      </xsd:simpleType>
    </xsd:element>
    <xsd:element name="MediaServiceSearchProperties" ma:index="35" nillable="true" ma:displayName="MediaServiceSearchProperties" ma:hidden="true" ma:internalName="MediaServiceSearchProperties" ma:readOnly="true">
      <xsd:simpleType>
        <xsd:restriction base="dms:Note"/>
      </xsd:simpleType>
    </xsd:element>
    <xsd:element name="xPDF" ma:index="39" nillable="true" ma:displayName="xPDF" ma:default="0" ma:format="Dropdown" ma:hidden="true" ma:internalName="xPDF" ma:readOnly="false">
      <xsd:simpleType>
        <xsd:restriction base="dms:Boolean"/>
      </xsd:simpleType>
    </xsd:element>
    <xsd:element name="RelatedWebsitePage" ma:index="45" nillable="true" ma:displayName="Related Website Page" ma:format="Hyperlink" ma:internalName="RelatedWebsitePage">
      <xsd:complexType>
        <xsd:complexContent>
          <xsd:extension base="dms:URL">
            <xsd:sequence>
              <xsd:element name="Url" type="dms:ValidUrl" minOccurs="0" nillable="true"/>
              <xsd:element name="Description" type="xsd:string" nillable="true"/>
            </xsd:sequence>
          </xsd:extension>
        </xsd:complexContent>
      </xsd:complexType>
    </xsd:element>
    <xsd:element name="InitialPublishDate" ma:index="46" nillable="true" ma:displayName="Initial Publish Date" ma:default="[today]" ma:format="DateOnly" ma:internalName="InitialPublishDate">
      <xsd:simpleType>
        <xsd:restriction base="dms:DateTime"/>
      </xsd:simpleType>
    </xsd:element>
    <xsd:element name="ActivePublishDate" ma:index="47" nillable="true" ma:displayName="Active Publish Date" ma:format="DateOnly" ma:internalName="ActivePublish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3" ma:displayName="Title"/>
        <xsd:element ref="dc:subject" minOccurs="0" maxOccurs="1"/>
        <xsd:element ref="dc:description" minOccurs="0" maxOccurs="1" ma:index="22"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Version_x0020_Number xmlns="361c438b-452b-4051-9cda-3a6b8527f04f" xsi:nil="true"/>
    <Effective_x0020_Date xmlns="361c438b-452b-4051-9cda-3a6b8527f04f">2023-09-18T23:00:00+00:00</Effective_x0020_Date>
    <Abbreviation_x0028_s_x0029_ xmlns="361c438b-452b-4051-9cda-3a6b8527f04f">
      <Value>132</Value>
    </Abbreviation_x0028_s_x0029_>
    <TaxCatchAll xmlns="361c438b-452b-4051-9cda-3a6b8527f04f">
      <Value>2077</Value>
      <Value>40</Value>
    </TaxCatchAll>
    <External xmlns="361c438b-452b-4051-9cda-3a6b8527f04f">true</External>
    <Publication_x0020_Scheme_x0020_Class xmlns="361c438b-452b-4051-9cda-3a6b8527f04f">How we are performing</Publication_x0020_Scheme_x0020_Class>
    <Security_x0020_Classification xmlns="361c438b-452b-4051-9cda-3a6b8527f04f">Official</Security_x0020_Classification>
    <Doc_x0020_Type xmlns="361c438b-452b-4051-9cda-3a6b8527f04f">Report</Doc_x0020_Type>
    <TaxKeywordTaxHTField xmlns="361c438b-452b-4051-9cda-3a6b8527f04f">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4fdbaa0e-82da-4f02-8c00-4c1730b59b67</TermId>
        </TermInfo>
      </Terms>
    </TaxKeywordTaxHTField>
    <Approver xmlns="361c438b-452b-4051-9cda-3a6b8527f04f">
      <UserInfo>
        <DisplayName/>
        <AccountId xsi:nil="true"/>
        <AccountType/>
      </UserInfo>
    </Approver>
    <Review_x0020_Period xmlns="361c438b-452b-4051-9cda-3a6b8527f04f">3 years</Review_x0020_Period>
    <Sub_x0020_Class_x0020_Heading xmlns="361c438b-452b-4051-9cda-3a6b8527f04f" xsi:nil="true"/>
    <Document_x0020_Status xmlns="361c438b-452b-4051-9cda-3a6b8527f04f">Live</Document_x0020_Status>
    <lcf76f155ced4ddcb4097134ff3c332f xmlns="858ae7c7-9454-45c7-a50c-4c9144226ea3" xsi:nil="true"/>
    <Summary xmlns="361c438b-452b-4051-9cda-3a6b8527f04f" xsi:nil="true"/>
    <_dlc_DocId xmlns="361c438b-452b-4051-9cda-3a6b8527f04f">CORPDL-747745404-495</_dlc_DocId>
    <_dlc_DocIdUrl xmlns="361c438b-452b-4051-9cda-3a6b8527f04f">
      <Url>https://firescotland.sharepoint.com/sites/SFRSDocumentLibrary/_layouts/15/DocIdRedir.aspx?ID=CORPDL-747745404-495</Url>
      <Description>CORPDL-747745404-495</Description>
    </_dlc_DocIdUrl>
    <Related_x0020_PDF xmlns="361c438b-452b-4051-9cda-3a6b8527f04f">
      <Url xsi:nil="true"/>
      <Description xsi:nil="true"/>
    </Related_x0020_PDF>
    <Published_x0020_to_x0020_website xmlns="361c438b-452b-4051-9cda-3a6b8527f04f">false</Published_x0020_to_x0020_website>
    <_dlc_DocIdPersistId xmlns="361c438b-452b-4051-9cda-3a6b8527f04f" xsi:nil="true"/>
    <TaxCatchAllLabel xmlns="361c438b-452b-4051-9cda-3a6b8527f04f" xsi:nil="true"/>
    <DocumentReadyForApproval xmlns="361c438b-452b-4051-9cda-3a6b8527f04f">false</DocumentReadyForApproval>
    <Intranet_x0020_content xmlns="361c438b-452b-4051-9cda-3a6b8527f04f">true</Intranet_x0020_content>
    <Related_x0020_Intranet_x0020_page xmlns="361c438b-452b-4051-9cda-3a6b8527f04f">
      <Url xsi:nil="true"/>
      <Description xsi:nil="true"/>
    </Related_x0020_Intranet_x0020_page>
    <Delete xmlns="361c438b-452b-4051-9cda-3a6b8527f04f">false</Delete>
    <xPDF xmlns="858ae7c7-9454-45c7-a50c-4c9144226ea3">false</xPDF>
    <ProperReviewDate xmlns="858ae7c7-9454-45c7-a50c-4c9144226ea3">2026-09-18T23:00:00+00:00</ProperReviewDate>
    <k383230df22e4c6daee9d7a3c1495057 xmlns="361c438b-452b-4051-9cda-3a6b8527f04f">
      <Terms xmlns="http://schemas.microsoft.com/office/infopath/2007/PartnerControls">
        <TermInfo xmlns="http://schemas.microsoft.com/office/infopath/2007/PartnerControls">
          <TermName xmlns="http://schemas.microsoft.com/office/infopath/2007/PartnerControls">Strategic Planning, Performance and Communications (SPPC)</TermName>
          <TermId xmlns="http://schemas.microsoft.com/office/infopath/2007/PartnerControls">c9dfca0c-2d79-4a95-9878-54827f0e6791</TermId>
        </TermInfo>
      </Terms>
    </k383230df22e4c6daee9d7a3c1495057>
    <ActivePublishDate xmlns="858ae7c7-9454-45c7-a50c-4c9144226ea3">2023-09-18T23:00:00+00:00</ActivePublishDate>
    <RelatedWebsitePage xmlns="858ae7c7-9454-45c7-a50c-4c9144226ea3">
      <Url xsi:nil="true"/>
      <Description xsi:nil="true"/>
    </RelatedWebsitePage>
    <InitialPublishDate xmlns="858ae7c7-9454-45c7-a50c-4c9144226ea3">2023-09-18T23:00:00+00:00</InitialPublishDate>
  </documentManagement>
</p:properties>
</file>

<file path=customXml/itemProps1.xml><?xml version="1.0" encoding="utf-8"?>
<ds:datastoreItem xmlns:ds="http://schemas.openxmlformats.org/officeDocument/2006/customXml" ds:itemID="{6A6DF135-4E35-4A60-9030-5C0317666A2D}"/>
</file>

<file path=customXml/itemProps2.xml><?xml version="1.0" encoding="utf-8"?>
<ds:datastoreItem xmlns:ds="http://schemas.openxmlformats.org/officeDocument/2006/customXml" ds:itemID="{9DCF644B-5C69-4F48-AACA-BE295C9C7F38}"/>
</file>

<file path=customXml/itemProps3.xml><?xml version="1.0" encoding="utf-8"?>
<ds:datastoreItem xmlns:ds="http://schemas.openxmlformats.org/officeDocument/2006/customXml" ds:itemID="{EC6B7284-1214-46FC-9FE2-2E7ED5AAD022}"/>
</file>

<file path=customXml/itemProps4.xml><?xml version="1.0" encoding="utf-8"?>
<ds:datastoreItem xmlns:ds="http://schemas.openxmlformats.org/officeDocument/2006/customXml" ds:itemID="{EC72D575-D098-48A2-ABB0-51DBD417B3D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143</vt:i4>
      </vt:variant>
      <vt:variant>
        <vt:lpstr>Named Ranges</vt:lpstr>
      </vt:variant>
      <vt:variant>
        <vt:i4>57</vt:i4>
      </vt:variant>
    </vt:vector>
  </HeadingPairs>
  <TitlesOfParts>
    <vt:vector size="200" baseType="lpstr">
      <vt:lpstr>Information</vt:lpstr>
      <vt:lpstr>Table of Contents</vt:lpstr>
      <vt:lpstr>Structure</vt:lpstr>
      <vt:lpstr>Crewing Model</vt:lpstr>
      <vt:lpstr>Crewing Model - Area</vt:lpstr>
      <vt:lpstr>Primary Crewing</vt:lpstr>
      <vt:lpstr>Primary Crewing - Area</vt:lpstr>
      <vt:lpstr>Chart - Station Type</vt:lpstr>
      <vt:lpstr>Chart - Area</vt:lpstr>
      <vt:lpstr>Chart - Map</vt:lpstr>
      <vt:lpstr>Vehicles</vt:lpstr>
      <vt:lpstr>h14</vt:lpstr>
      <vt:lpstr>h14a</vt:lpstr>
      <vt:lpstr>Appliances LA</vt:lpstr>
      <vt:lpstr>Staffing</vt:lpstr>
      <vt:lpstr>Department</vt:lpstr>
      <vt:lpstr>Geographic Structure</vt:lpstr>
      <vt:lpstr>Small Area</vt:lpstr>
      <vt:lpstr>Role</vt:lpstr>
      <vt:lpstr>Role - Area</vt:lpstr>
      <vt:lpstr>WT Role - Area</vt:lpstr>
      <vt:lpstr>RDS Role - Area</vt:lpstr>
      <vt:lpstr>C&amp;S Role - Area</vt:lpstr>
      <vt:lpstr>Vol Role - Area</vt:lpstr>
      <vt:lpstr>h4</vt:lpstr>
      <vt:lpstr>h2</vt:lpstr>
      <vt:lpstr>h3</vt:lpstr>
      <vt:lpstr>h4b</vt:lpstr>
      <vt:lpstr>h4cde</vt:lpstr>
      <vt:lpstr>WT FTE Role - Area</vt:lpstr>
      <vt:lpstr>h5a</vt:lpstr>
      <vt:lpstr>RDS FTE Role - Area</vt:lpstr>
      <vt:lpstr>C&amp;S FTE Role - Area</vt:lpstr>
      <vt:lpstr>Gender Timeseries</vt:lpstr>
      <vt:lpstr>Gender</vt:lpstr>
      <vt:lpstr>h5b</vt:lpstr>
      <vt:lpstr>h5cd</vt:lpstr>
      <vt:lpstr>h7</vt:lpstr>
      <vt:lpstr>h8</vt:lpstr>
      <vt:lpstr>Gender and Role</vt:lpstr>
      <vt:lpstr>FTE Gender and Role</vt:lpstr>
      <vt:lpstr>h9</vt:lpstr>
      <vt:lpstr>Age</vt:lpstr>
      <vt:lpstr>h10</vt:lpstr>
      <vt:lpstr>Service Length</vt:lpstr>
      <vt:lpstr>h10c</vt:lpstr>
      <vt:lpstr>Ethnicity</vt:lpstr>
      <vt:lpstr>h11</vt:lpstr>
      <vt:lpstr>Disability</vt:lpstr>
      <vt:lpstr>Entrants - Demographics</vt:lpstr>
      <vt:lpstr>Leavers</vt:lpstr>
      <vt:lpstr>Chart Headcount</vt:lpstr>
      <vt:lpstr>Chart FTE</vt:lpstr>
      <vt:lpstr>Chart Gender</vt:lpstr>
      <vt:lpstr>Chart Age</vt:lpstr>
      <vt:lpstr>h13</vt:lpstr>
      <vt:lpstr>Attacks</vt:lpstr>
      <vt:lpstr>h15</vt:lpstr>
      <vt:lpstr>Attacks - Area</vt:lpstr>
      <vt:lpstr>h16</vt:lpstr>
      <vt:lpstr>Chart - Attacks</vt:lpstr>
      <vt:lpstr>Chart - Injuries</vt:lpstr>
      <vt:lpstr>HFSVs</vt:lpstr>
      <vt:lpstr>Distinct Properties</vt:lpstr>
      <vt:lpstr>Distinct Propert. Popul.</vt:lpstr>
      <vt:lpstr>Residents</vt:lpstr>
      <vt:lpstr>SIMD</vt:lpstr>
      <vt:lpstr>Rurality</vt:lpstr>
      <vt:lpstr>HFSVs LA</vt:lpstr>
      <vt:lpstr>Outcome LA</vt:lpstr>
      <vt:lpstr>h19</vt:lpstr>
      <vt:lpstr>Rate LA</vt:lpstr>
      <vt:lpstr>Chart HFSVs</vt:lpstr>
      <vt:lpstr>Chart Alarms</vt:lpstr>
      <vt:lpstr>Chart Residents</vt:lpstr>
      <vt:lpstr>Chart Rurality</vt:lpstr>
      <vt:lpstr>Chart LA</vt:lpstr>
      <vt:lpstr>Workflows</vt:lpstr>
      <vt:lpstr>Audits</vt:lpstr>
      <vt:lpstr>Audits LA</vt:lpstr>
      <vt:lpstr>h20a</vt:lpstr>
      <vt:lpstr>Audits Outcome</vt:lpstr>
      <vt:lpstr>h21</vt:lpstr>
      <vt:lpstr>Audits Outcome LA</vt:lpstr>
      <vt:lpstr>h22</vt:lpstr>
      <vt:lpstr>Notices</vt:lpstr>
      <vt:lpstr>Risk</vt:lpstr>
      <vt:lpstr>h23</vt:lpstr>
      <vt:lpstr>Chart Workflows</vt:lpstr>
      <vt:lpstr>Chart Audits</vt:lpstr>
      <vt:lpstr>TRS</vt:lpstr>
      <vt:lpstr>T1</vt:lpstr>
      <vt:lpstr>T1pm</vt:lpstr>
      <vt:lpstr>null</vt:lpstr>
      <vt:lpstr>T2</vt:lpstr>
      <vt:lpstr>T2a</vt:lpstr>
      <vt:lpstr>T2b</vt:lpstr>
      <vt:lpstr>T2U</vt:lpstr>
      <vt:lpstr>T3</vt:lpstr>
      <vt:lpstr>T4a</vt:lpstr>
      <vt:lpstr>T4b</vt:lpstr>
      <vt:lpstr>T4c</vt:lpstr>
      <vt:lpstr>T4d</vt:lpstr>
      <vt:lpstr>T4e</vt:lpstr>
      <vt:lpstr>T5a</vt:lpstr>
      <vt:lpstr>T5b</vt:lpstr>
      <vt:lpstr>T5c</vt:lpstr>
      <vt:lpstr>T5d</vt:lpstr>
      <vt:lpstr>T6</vt:lpstr>
      <vt:lpstr>T7</vt:lpstr>
      <vt:lpstr>T8</vt:lpstr>
      <vt:lpstr>T9</vt:lpstr>
      <vt:lpstr>T10</vt:lpstr>
      <vt:lpstr>T10c</vt:lpstr>
      <vt:lpstr>Tleave</vt:lpstr>
      <vt:lpstr>Tentrant</vt:lpstr>
      <vt:lpstr>T11</vt:lpstr>
      <vt:lpstr>T10cc</vt:lpstr>
      <vt:lpstr>T12</vt:lpstr>
      <vt:lpstr>T13</vt:lpstr>
      <vt:lpstr>T13cm</vt:lpstr>
      <vt:lpstr>T15i</vt:lpstr>
      <vt:lpstr>T14</vt:lpstr>
      <vt:lpstr>T14a</vt:lpstr>
      <vt:lpstr>T14ap</vt:lpstr>
      <vt:lpstr>T15</vt:lpstr>
      <vt:lpstr>T16</vt:lpstr>
      <vt:lpstr>T17</vt:lpstr>
      <vt:lpstr>T17ap</vt:lpstr>
      <vt:lpstr>T17dv</vt:lpstr>
      <vt:lpstr>T19dz</vt:lpstr>
      <vt:lpstr>T20d</vt:lpstr>
      <vt:lpstr>T21n</vt:lpstr>
      <vt:lpstr>T19</vt:lpstr>
      <vt:lpstr>T19c</vt:lpstr>
      <vt:lpstr>T19c2</vt:lpstr>
      <vt:lpstr>T20</vt:lpstr>
      <vt:lpstr>T21</vt:lpstr>
      <vt:lpstr>T21a</vt:lpstr>
      <vt:lpstr>T22</vt:lpstr>
      <vt:lpstr>T22c</vt:lpstr>
      <vt:lpstr>T23</vt:lpstr>
      <vt:lpstr>T23c</vt:lpstr>
      <vt:lpstr>'Geographic Structure'!Print_Area</vt:lpstr>
      <vt:lpstr>Information!Print_Area</vt:lpstr>
      <vt:lpstr>'Rate LA'!Print_Area</vt:lpstr>
      <vt:lpstr>Staffing!Print_Area</vt:lpstr>
      <vt:lpstr>null!Print_Titles</vt:lpstr>
      <vt:lpstr>'T1'!Print_Titles</vt:lpstr>
      <vt:lpstr>'T10'!Print_Titles</vt:lpstr>
      <vt:lpstr>T10c!Print_Titles</vt:lpstr>
      <vt:lpstr>T10cc!Print_Titles</vt:lpstr>
      <vt:lpstr>'T11'!Print_Titles</vt:lpstr>
      <vt:lpstr>'T12'!Print_Titles</vt:lpstr>
      <vt:lpstr>'T13'!Print_Titles</vt:lpstr>
      <vt:lpstr>T13cm!Print_Titles</vt:lpstr>
      <vt:lpstr>'T14'!Print_Titles</vt:lpstr>
      <vt:lpstr>T14a!Print_Titles</vt:lpstr>
      <vt:lpstr>T14ap!Print_Titles</vt:lpstr>
      <vt:lpstr>'T15'!Print_Titles</vt:lpstr>
      <vt:lpstr>T15i!Print_Titles</vt:lpstr>
      <vt:lpstr>'T16'!Print_Titles</vt:lpstr>
      <vt:lpstr>'T17'!Print_Titles</vt:lpstr>
      <vt:lpstr>T17ap!Print_Titles</vt:lpstr>
      <vt:lpstr>T17dv!Print_Titles</vt:lpstr>
      <vt:lpstr>'T19'!Print_Titles</vt:lpstr>
      <vt:lpstr>T19c!Print_Titles</vt:lpstr>
      <vt:lpstr>T19c2!Print_Titles</vt:lpstr>
      <vt:lpstr>T19dz!Print_Titles</vt:lpstr>
      <vt:lpstr>T1pm!Print_Titles</vt:lpstr>
      <vt:lpstr>'T2'!Print_Titles</vt:lpstr>
      <vt:lpstr>'T20'!Print_Titles</vt:lpstr>
      <vt:lpstr>T20d!Print_Titles</vt:lpstr>
      <vt:lpstr>'T21'!Print_Titles</vt:lpstr>
      <vt:lpstr>T21a!Print_Titles</vt:lpstr>
      <vt:lpstr>T21n!Print_Titles</vt:lpstr>
      <vt:lpstr>'T22'!Print_Titles</vt:lpstr>
      <vt:lpstr>T22c!Print_Titles</vt:lpstr>
      <vt:lpstr>'T23'!Print_Titles</vt:lpstr>
      <vt:lpstr>T23c!Print_Titles</vt:lpstr>
      <vt:lpstr>T2a!Print_Titles</vt:lpstr>
      <vt:lpstr>T2b!Print_Titles</vt:lpstr>
      <vt:lpstr>T2U!Print_Titles</vt:lpstr>
      <vt:lpstr>'T3'!Print_Titles</vt:lpstr>
      <vt:lpstr>T4a!Print_Titles</vt:lpstr>
      <vt:lpstr>T4b!Print_Titles</vt:lpstr>
      <vt:lpstr>T4c!Print_Titles</vt:lpstr>
      <vt:lpstr>T4d!Print_Titles</vt:lpstr>
      <vt:lpstr>T4e!Print_Titles</vt:lpstr>
      <vt:lpstr>T5a!Print_Titles</vt:lpstr>
      <vt:lpstr>T5b!Print_Titles</vt:lpstr>
      <vt:lpstr>T5c!Print_Titles</vt:lpstr>
      <vt:lpstr>T5d!Print_Titles</vt:lpstr>
      <vt:lpstr>'T6'!Print_Titles</vt:lpstr>
      <vt:lpstr>'T7'!Print_Titles</vt:lpstr>
      <vt:lpstr>'T8'!Print_Titles</vt:lpstr>
      <vt:lpstr>'T9'!Print_Titles</vt:lpstr>
      <vt:lpstr>Tentrant!Print_Titles</vt:lpstr>
      <vt:lpstr>Tleave!Print_Titles</vt:lpstr>
      <vt:lpstr>TRS!Print_Titles</vt:lpstr>
    </vt:vector>
  </TitlesOfParts>
  <Company>Scottish Fire and Rescue Service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 Safety and Organisational Statistics, 2018-2019, Tables and Charts</dc:title>
  <dc:creator>Welsh, Gregor</dc:creator>
  <cp:keywords>Statistics</cp:keywords>
  <cp:lastModifiedBy>Welsh, Gregor</cp:lastModifiedBy>
  <cp:lastPrinted>2018-08-15T17:19:41Z</cp:lastPrinted>
  <dcterms:created xsi:type="dcterms:W3CDTF">2018-07-05T11:22:21Z</dcterms:created>
  <dcterms:modified xsi:type="dcterms:W3CDTF">2019-09-20T10:28:14Z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0x0101004D3BEEE8C71E0441ABCD602B2883CF2303002F0AEBBF2B74A8408CFDD78D345B4A87</vt:lpwstr>
  </property>
  <property fmtid="{D5CDD505-2E9C-101B-9397-08002B2CF9AE}" pid="3" name="_dlc_DocIdItemGuid">
    <vt:lpwstr>f3607999-2170-4314-ba63-68f0e2c024a0</vt:lpwstr>
  </property>
  <property fmtid="{D5CDD505-2E9C-101B-9397-08002B2CF9AE}" pid="4" name="TaxKeyword">
    <vt:lpwstr>40;#Statistics|4fdbaa0e-82da-4f02-8c00-4c1730b59b67</vt:lpwstr>
  </property>
  <property fmtid="{D5CDD505-2E9C-101B-9397-08002B2CF9AE}" pid="5" name="MediaServiceImageTags">
    <vt:lpwstr/>
  </property>
  <property fmtid="{D5CDD505-2E9C-101B-9397-08002B2CF9AE}" pid="6" name="DirectorateTEMP">
    <vt:lpwstr>Strategic Planning, Performance and Communications</vt:lpwstr>
  </property>
  <property fmtid="{D5CDD505-2E9C-101B-9397-08002B2CF9AE}" pid="7" name="Directorate">
    <vt:lpwstr>2077;#Strategic Planning, Performance and Communications (SPPC)|c9dfca0c-2d79-4a95-9878-54827f0e6791</vt:lpwstr>
  </property>
  <property fmtid="{D5CDD505-2E9C-101B-9397-08002B2CF9AE}" pid="8" name="Directorate0">
    <vt:lpwstr/>
  </property>
</Properties>
</file>